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אופיר מאגדי\Desktop\מכללה למנהל GOOL\הקלטות\שיעור 8 מימון בתנאי אינפלצייה והצמדות\"/>
    </mc:Choice>
  </mc:AlternateContent>
  <xr:revisionPtr revIDLastSave="0" documentId="13_ncr:1_{AFE1D53E-CB19-489A-B78D-35AD01F14FA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מבוא להצמדה שאלות 1-3" sheetId="3" r:id="rId1"/>
    <sheet name="פתרון תרגיל בית שאלות 4-8" sheetId="5" r:id="rId2"/>
    <sheet name=" שאלות חזרה מבחינות 9-10 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3" i="6" l="1"/>
  <c r="M34" i="6" s="1"/>
  <c r="K10" i="6"/>
  <c r="P106" i="5"/>
  <c r="P102" i="5"/>
  <c r="J107" i="5"/>
  <c r="L107" i="5" s="1"/>
  <c r="K107" i="5" s="1"/>
  <c r="J106" i="5"/>
  <c r="N105" i="5"/>
  <c r="K105" i="5"/>
  <c r="J105" i="5"/>
  <c r="L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05" i="5"/>
  <c r="J103" i="5"/>
  <c r="J101" i="5"/>
  <c r="J102" i="5"/>
  <c r="N107" i="5" l="1"/>
  <c r="J108" i="5" s="1"/>
  <c r="L106" i="5"/>
  <c r="K106" i="5" s="1"/>
  <c r="N106" i="5" s="1"/>
  <c r="L108" i="5" l="1"/>
  <c r="K108" i="5" s="1"/>
  <c r="N108" i="5"/>
  <c r="J109" i="5" s="1"/>
  <c r="L109" i="5" l="1"/>
  <c r="K109" i="5" s="1"/>
  <c r="N109" i="5" s="1"/>
  <c r="J110" i="5" s="1"/>
  <c r="L110" i="5" l="1"/>
  <c r="K110" i="5" s="1"/>
  <c r="N110" i="5" s="1"/>
  <c r="J111" i="5" s="1"/>
  <c r="L111" i="5" l="1"/>
  <c r="K111" i="5" s="1"/>
  <c r="N111" i="5" s="1"/>
  <c r="J112" i="5" s="1"/>
  <c r="L112" i="5" l="1"/>
  <c r="K112" i="5" s="1"/>
  <c r="N112" i="5"/>
  <c r="J113" i="5" s="1"/>
  <c r="L113" i="5" l="1"/>
  <c r="K113" i="5" s="1"/>
  <c r="N113" i="5" s="1"/>
  <c r="J114" i="5" s="1"/>
  <c r="L114" i="5" l="1"/>
  <c r="K114" i="5" s="1"/>
  <c r="N114" i="5" s="1"/>
  <c r="J115" i="5" s="1"/>
  <c r="L115" i="5" l="1"/>
  <c r="K115" i="5" s="1"/>
  <c r="N115" i="5"/>
  <c r="J116" i="5" s="1"/>
  <c r="L116" i="5" l="1"/>
  <c r="K116" i="5" s="1"/>
  <c r="N116" i="5" s="1"/>
  <c r="J117" i="5" s="1"/>
  <c r="L117" i="5" l="1"/>
  <c r="K117" i="5" s="1"/>
  <c r="N117" i="5" s="1"/>
  <c r="J118" i="5" s="1"/>
  <c r="L118" i="5" l="1"/>
  <c r="K118" i="5" s="1"/>
  <c r="N118" i="5"/>
  <c r="J119" i="5" s="1"/>
  <c r="L119" i="5" l="1"/>
  <c r="K119" i="5" s="1"/>
  <c r="N119" i="5" s="1"/>
  <c r="J120" i="5" s="1"/>
  <c r="L120" i="5" l="1"/>
  <c r="K120" i="5" s="1"/>
  <c r="N120" i="5"/>
  <c r="J121" i="5" s="1"/>
  <c r="L121" i="5" l="1"/>
  <c r="K121" i="5" s="1"/>
  <c r="N121" i="5"/>
  <c r="J122" i="5" s="1"/>
  <c r="L122" i="5" l="1"/>
  <c r="K122" i="5" s="1"/>
  <c r="N122" i="5" s="1"/>
  <c r="J123" i="5" s="1"/>
  <c r="L123" i="5" l="1"/>
  <c r="K123" i="5" s="1"/>
  <c r="N123" i="5"/>
  <c r="J124" i="5" s="1"/>
  <c r="L124" i="5" l="1"/>
  <c r="K124" i="5" s="1"/>
  <c r="N124" i="5"/>
  <c r="J125" i="5" s="1"/>
  <c r="L125" i="5" l="1"/>
  <c r="K125" i="5" s="1"/>
  <c r="N125" i="5"/>
  <c r="J126" i="5" s="1"/>
  <c r="L126" i="5" l="1"/>
  <c r="K126" i="5" s="1"/>
  <c r="N126" i="5"/>
  <c r="J127" i="5" s="1"/>
  <c r="L127" i="5" l="1"/>
  <c r="K127" i="5" s="1"/>
  <c r="N127" i="5"/>
  <c r="J128" i="5" s="1"/>
  <c r="L128" i="5" l="1"/>
  <c r="K128" i="5" s="1"/>
  <c r="N128" i="5" s="1"/>
  <c r="J129" i="5" s="1"/>
  <c r="L129" i="5" l="1"/>
  <c r="K129" i="5" s="1"/>
  <c r="N129" i="5" s="1"/>
  <c r="J130" i="5" s="1"/>
  <c r="L130" i="5" l="1"/>
  <c r="K130" i="5" s="1"/>
  <c r="N130" i="5" s="1"/>
  <c r="J131" i="5" s="1"/>
  <c r="L131" i="5" l="1"/>
  <c r="K131" i="5" s="1"/>
  <c r="N131" i="5"/>
  <c r="J132" i="5" s="1"/>
  <c r="L132" i="5" l="1"/>
  <c r="K132" i="5" s="1"/>
  <c r="N132" i="5" s="1"/>
  <c r="J133" i="5" s="1"/>
  <c r="L133" i="5" l="1"/>
  <c r="K133" i="5" s="1"/>
  <c r="N133" i="5" s="1"/>
  <c r="J134" i="5" s="1"/>
  <c r="L134" i="5" l="1"/>
  <c r="K134" i="5" s="1"/>
  <c r="N134" i="5"/>
  <c r="J135" i="5" s="1"/>
  <c r="L135" i="5" l="1"/>
  <c r="K135" i="5" s="1"/>
  <c r="N135" i="5"/>
  <c r="J136" i="5" s="1"/>
  <c r="L136" i="5" l="1"/>
  <c r="K136" i="5" s="1"/>
  <c r="N136" i="5" s="1"/>
  <c r="J137" i="5" s="1"/>
  <c r="L137" i="5" l="1"/>
  <c r="K137" i="5" s="1"/>
  <c r="N137" i="5" s="1"/>
  <c r="J138" i="5" s="1"/>
  <c r="L138" i="5" l="1"/>
  <c r="K138" i="5" s="1"/>
  <c r="N138" i="5" s="1"/>
  <c r="J139" i="5" s="1"/>
  <c r="L139" i="5" l="1"/>
  <c r="K139" i="5" s="1"/>
  <c r="N139" i="5"/>
  <c r="J140" i="5" s="1"/>
  <c r="L140" i="5" l="1"/>
  <c r="K140" i="5" s="1"/>
  <c r="N140" i="5"/>
  <c r="J89" i="5" l="1"/>
  <c r="J86" i="5" s="1"/>
  <c r="J87" i="5"/>
  <c r="N81" i="5"/>
  <c r="N80" i="5"/>
  <c r="M80" i="5" s="1"/>
  <c r="M83" i="5" s="1"/>
  <c r="M81" i="5"/>
  <c r="N57" i="5"/>
  <c r="N56" i="5"/>
  <c r="N59" i="5" s="1"/>
  <c r="O57" i="5"/>
  <c r="O56" i="5"/>
  <c r="M33" i="5"/>
  <c r="N34" i="5"/>
  <c r="M34" i="5" s="1"/>
  <c r="N33" i="5"/>
  <c r="J31" i="5"/>
  <c r="K14" i="5"/>
  <c r="L14" i="5"/>
  <c r="L13" i="5"/>
  <c r="K13" i="5" s="1"/>
  <c r="K16" i="5" s="1"/>
  <c r="L78" i="3"/>
  <c r="K79" i="3"/>
  <c r="K78" i="3"/>
  <c r="J84" i="3"/>
  <c r="J83" i="3"/>
  <c r="J56" i="3"/>
  <c r="J55" i="3"/>
  <c r="M19" i="3"/>
  <c r="L16" i="3"/>
  <c r="L17" i="3"/>
  <c r="L18" i="3"/>
  <c r="L15" i="3"/>
  <c r="M38" i="5" l="1"/>
  <c r="J33" i="5" s="1"/>
  <c r="J32" i="5" s="1"/>
</calcChain>
</file>

<file path=xl/sharedStrings.xml><?xml version="1.0" encoding="utf-8"?>
<sst xmlns="http://schemas.openxmlformats.org/spreadsheetml/2006/main" count="139" uniqueCount="83">
  <si>
    <t>נתונים:</t>
  </si>
  <si>
    <t>הלוואה</t>
  </si>
  <si>
    <t>PV</t>
  </si>
  <si>
    <t>חודשים</t>
  </si>
  <si>
    <t>n</t>
  </si>
  <si>
    <t>ריבית</t>
  </si>
  <si>
    <t>r</t>
  </si>
  <si>
    <t>מספר תקבול</t>
  </si>
  <si>
    <t>תשלום ע"ח קרן</t>
  </si>
  <si>
    <t>תשלום ע"ח ריבית</t>
  </si>
  <si>
    <t>סך הכל תשלום</t>
  </si>
  <si>
    <t>יתרת הקרן בסוף התקופה</t>
  </si>
  <si>
    <t>ב.</t>
  </si>
  <si>
    <t>ג.</t>
  </si>
  <si>
    <t>יתרת הקרן בתחילת תקופה</t>
  </si>
  <si>
    <t>הצמדות</t>
  </si>
  <si>
    <t>חודש</t>
  </si>
  <si>
    <t>מדד בנקודות</t>
  </si>
  <si>
    <t>חישוב שינוי במדד</t>
  </si>
  <si>
    <t>שינוי שנתי בנקודות</t>
  </si>
  <si>
    <t>דוגמא לשימוש במדד:</t>
  </si>
  <si>
    <t>ריבית נומינלית</t>
  </si>
  <si>
    <t>ריבית ראלית</t>
  </si>
  <si>
    <t>מדד שנתי</t>
  </si>
  <si>
    <t>גובה השקעה</t>
  </si>
  <si>
    <t>שנות השקעה</t>
  </si>
  <si>
    <t xml:space="preserve"> (1 + Rn) = (1 + Rr) * (1 + h)</t>
  </si>
  <si>
    <t>pv</t>
  </si>
  <si>
    <t>שאלה 1</t>
  </si>
  <si>
    <t>Rnom</t>
  </si>
  <si>
    <t>שנתית</t>
  </si>
  <si>
    <t>Rπe</t>
  </si>
  <si>
    <t>חודשית</t>
  </si>
  <si>
    <t>שאלה 2</t>
  </si>
  <si>
    <t>שבועית</t>
  </si>
  <si>
    <t>שאלה 3</t>
  </si>
  <si>
    <t>שאלה 4</t>
  </si>
  <si>
    <t>א</t>
  </si>
  <si>
    <t>ב</t>
  </si>
  <si>
    <t>שאלה 5</t>
  </si>
  <si>
    <t>תקופות</t>
  </si>
  <si>
    <t xml:space="preserve">חזרה מימון בתנאי אינפלציה </t>
  </si>
  <si>
    <t xml:space="preserve">תקופות </t>
  </si>
  <si>
    <t>Rn</t>
  </si>
  <si>
    <t>אינפלציה</t>
  </si>
  <si>
    <t>π</t>
  </si>
  <si>
    <t xml:space="preserve">חישוב ריבית ראלית על פי נוסחת פישר - </t>
  </si>
  <si>
    <t>פיתרון:</t>
  </si>
  <si>
    <t>ערך עתידי של ההלוואה ללא הצמדה</t>
  </si>
  <si>
    <t>הלוואת בלון</t>
  </si>
  <si>
    <t>ערך עתידי של ההלוואה כולל הצמדה</t>
  </si>
  <si>
    <t>המדד ירד ולכן ההצמדה הקטינה את סכום ההחזר</t>
  </si>
  <si>
    <t>מדד התחלה</t>
  </si>
  <si>
    <t>Mo</t>
  </si>
  <si>
    <t>מדד סיום</t>
  </si>
  <si>
    <t>Mn</t>
  </si>
  <si>
    <t>PMT</t>
  </si>
  <si>
    <t xml:space="preserve">סבתא אתי הפקידה בבנק "מאגדים" בתחילת שנת 2020 סך של 80,000 ש"ח לתקופה של שנה. סבתא אתי                                                                     הינה לקוחת "VIP" , הבנק הציע לה ריבית שנתית קבועה מראש של 2.8% (תכנית לא-צמודה).
סבתא אתי קיבלה בסוף השנה 83,700 ש"ח. האינפלציה בשנת 2020 הסתכמה ב -3.7%.
בכמה עלה/ירד ריאלית כספה של סבתא אתי בשנה זו?
</t>
  </si>
  <si>
    <t>ערך עתידי של ליעד</t>
  </si>
  <si>
    <t>ערך עתידי של יהל</t>
  </si>
  <si>
    <t>נוסחת פישר:</t>
  </si>
  <si>
    <t>?</t>
  </si>
  <si>
    <t>RN</t>
  </si>
  <si>
    <t>רבעון</t>
  </si>
  <si>
    <t>N</t>
  </si>
  <si>
    <t>H</t>
  </si>
  <si>
    <t>אינפלציה חודשית</t>
  </si>
  <si>
    <t>שנה</t>
  </si>
  <si>
    <t>RR</t>
  </si>
  <si>
    <t>FV</t>
  </si>
  <si>
    <t>שאלה 6</t>
  </si>
  <si>
    <t>שאלה 7</t>
  </si>
  <si>
    <t>שאלה 8</t>
  </si>
  <si>
    <t>Rr</t>
  </si>
  <si>
    <t>MN</t>
  </si>
  <si>
    <t>M0</t>
  </si>
  <si>
    <t>שאלה 9</t>
  </si>
  <si>
    <t>שאלה 10</t>
  </si>
  <si>
    <t>כסף ירד ריאלית ב- 0.876%</t>
  </si>
  <si>
    <t>מלאים</t>
  </si>
  <si>
    <t>חצי</t>
  </si>
  <si>
    <t>ריקים</t>
  </si>
  <si>
    <t xml:space="preserve">
ניר קיבל בבנק הלוואת בלון של 90,000 ש"ח לשנה. הריבית השנתית: 5%. ההלוואה צמודה למדד המחירים. 
מדד המחירים לצרכן ביום  קבלת  ההלוואה : 104.8 נקודות.
מדד המחירים לצרכן ביום החזרת ההלוואה: 103.9 נקודות. 
מהו הסכום שניר החזיר ביום פירעון ההלוואה?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</si>
</sst>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₪&quot;\ #,##0.00;[Red]&quot;₪&quot;\ \-#,##0.00"/>
    <numFmt numFmtId="43" formatCode="_ * #,##0.00_ ;_ * \-#,##0.00_ ;_ * &quot;-&quot;??_ ;_ @_ "/>
    <numFmt numFmtId="166" formatCode="_ * #,##0_ ;_ * \-#,##0_ ;_ * &quot;-&quot;??_ ;_ @_ "/>
    <numFmt numFmtId="167" formatCode="0.000%"/>
    <numFmt numFmtId="168" formatCode="0.0%"/>
  </numFmts>
  <fonts count="1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rgb="FFFFFFFF"/>
      <name val="Arial"/>
      <family val="2"/>
      <scheme val="minor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2"/>
      <name val="David"/>
      <family val="2"/>
    </font>
    <font>
      <b/>
      <sz val="14"/>
      <color theme="1"/>
      <name val="Arial"/>
      <family val="2"/>
      <scheme val="minor"/>
    </font>
    <font>
      <sz val="16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00206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10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3" xfId="0" applyBorder="1"/>
    <xf numFmtId="0" fontId="2" fillId="0" borderId="3" xfId="0" applyFont="1" applyBorder="1"/>
    <xf numFmtId="17" fontId="0" fillId="0" borderId="0" xfId="0" applyNumberFormat="1"/>
    <xf numFmtId="10" fontId="0" fillId="0" borderId="0" xfId="2" applyNumberFormat="1" applyFont="1"/>
    <xf numFmtId="10" fontId="1" fillId="0" borderId="0" xfId="2" applyNumberFormat="1" applyFont="1"/>
    <xf numFmtId="10" fontId="1" fillId="0" borderId="0" xfId="0" applyNumberFormat="1" applyFont="1"/>
    <xf numFmtId="43" fontId="0" fillId="0" borderId="0" xfId="1" applyFont="1"/>
    <xf numFmtId="8" fontId="0" fillId="0" borderId="0" xfId="0" applyNumberFormat="1"/>
    <xf numFmtId="0" fontId="4" fillId="2" borderId="4" xfId="0" applyFont="1" applyFill="1" applyBorder="1" applyAlignment="1">
      <alignment horizontal="center" readingOrder="2"/>
    </xf>
    <xf numFmtId="0" fontId="4" fillId="2" borderId="1" xfId="0" applyFont="1" applyFill="1" applyBorder="1" applyAlignment="1">
      <alignment horizontal="center" readingOrder="2"/>
    </xf>
    <xf numFmtId="0" fontId="4" fillId="2" borderId="2" xfId="0" applyFont="1" applyFill="1" applyBorder="1" applyAlignment="1">
      <alignment horizontal="center" readingOrder="2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8" fontId="1" fillId="0" borderId="0" xfId="0" applyNumberFormat="1" applyFont="1"/>
    <xf numFmtId="168" fontId="0" fillId="0" borderId="0" xfId="0" applyNumberFormat="1"/>
    <xf numFmtId="0" fontId="7" fillId="0" borderId="0" xfId="0" applyFont="1" applyAlignment="1">
      <alignment horizontal="right" vertical="top" wrapText="1"/>
    </xf>
    <xf numFmtId="0" fontId="7" fillId="0" borderId="0" xfId="0" applyFont="1"/>
    <xf numFmtId="166" fontId="0" fillId="0" borderId="0" xfId="1" applyNumberFormat="1" applyFont="1"/>
    <xf numFmtId="167" fontId="0" fillId="3" borderId="0" xfId="2" applyNumberFormat="1" applyFont="1" applyFill="1"/>
    <xf numFmtId="8" fontId="1" fillId="3" borderId="0" xfId="0" applyNumberFormat="1" applyFont="1" applyFill="1"/>
    <xf numFmtId="0" fontId="8" fillId="3" borderId="0" xfId="0" applyFont="1" applyFill="1" applyAlignment="1">
      <alignment horizontal="right" wrapText="1"/>
    </xf>
    <xf numFmtId="0" fontId="8" fillId="3" borderId="0" xfId="0" applyFont="1" applyFill="1" applyAlignment="1">
      <alignment horizontal="right" vertical="top" wrapText="1"/>
    </xf>
    <xf numFmtId="0" fontId="0" fillId="3" borderId="0" xfId="0" applyFill="1"/>
    <xf numFmtId="0" fontId="9" fillId="4" borderId="0" xfId="0" applyFont="1" applyFill="1"/>
    <xf numFmtId="10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9" fontId="10" fillId="4" borderId="0" xfId="0" applyNumberFormat="1" applyFont="1" applyFill="1" applyAlignment="1">
      <alignment horizontal="center"/>
    </xf>
    <xf numFmtId="9" fontId="0" fillId="5" borderId="0" xfId="0" applyNumberFormat="1" applyFill="1" applyAlignment="1">
      <alignment horizontal="center"/>
    </xf>
    <xf numFmtId="10" fontId="0" fillId="5" borderId="0" xfId="0" applyNumberFormat="1" applyFill="1" applyAlignment="1">
      <alignment horizontal="center"/>
    </xf>
    <xf numFmtId="8" fontId="0" fillId="5" borderId="0" xfId="0" applyNumberFormat="1" applyFill="1" applyAlignment="1">
      <alignment horizontal="center"/>
    </xf>
    <xf numFmtId="8" fontId="0" fillId="4" borderId="0" xfId="0" applyNumberFormat="1" applyFill="1" applyAlignment="1">
      <alignment horizontal="center"/>
    </xf>
    <xf numFmtId="0" fontId="0" fillId="0" borderId="0" xfId="0" applyNumberFormat="1"/>
    <xf numFmtId="10" fontId="0" fillId="3" borderId="0" xfId="0" applyNumberFormat="1" applyFill="1"/>
    <xf numFmtId="8" fontId="0" fillId="3" borderId="0" xfId="0" applyNumberFormat="1" applyFill="1"/>
    <xf numFmtId="0" fontId="11" fillId="4" borderId="5" xfId="0" applyFont="1" applyFill="1" applyBorder="1"/>
    <xf numFmtId="0" fontId="1" fillId="0" borderId="5" xfId="0" applyFont="1" applyBorder="1"/>
    <xf numFmtId="8" fontId="0" fillId="0" borderId="5" xfId="0" applyNumberFormat="1" applyBorder="1"/>
    <xf numFmtId="8" fontId="0" fillId="0" borderId="5" xfId="0" applyNumberFormat="1" applyBorder="1" applyAlignment="1">
      <alignment horizontal="center"/>
    </xf>
    <xf numFmtId="8" fontId="0" fillId="5" borderId="5" xfId="0" applyNumberFormat="1" applyFill="1" applyBorder="1" applyAlignment="1">
      <alignment horizontal="center"/>
    </xf>
    <xf numFmtId="8" fontId="0" fillId="3" borderId="5" xfId="0" applyNumberForma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9524</xdr:colOff>
      <xdr:row>41</xdr:row>
      <xdr:rowOff>123823</xdr:rowOff>
    </xdr:from>
    <xdr:ext cx="7867651" cy="99060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983447775" y="4610098"/>
          <a:ext cx="7867651" cy="99060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r>
            <a:rPr lang="he-IL" sz="1100" b="1"/>
            <a:t>ליעד</a:t>
          </a:r>
          <a:r>
            <a:rPr lang="he-IL" sz="1100" b="1" baseline="0"/>
            <a:t> ויהל, 2 חברים טובים, החליטו להשקיע 50,000 ש"ח בתוכנית חיסכון לשנה.</a:t>
          </a:r>
        </a:p>
        <a:p>
          <a:pPr algn="r" rtl="1">
            <a:lnSpc>
              <a:spcPct val="150000"/>
            </a:lnSpc>
          </a:pPr>
          <a:r>
            <a:rPr lang="he-IL" sz="1100" b="1" baseline="0"/>
            <a:t>ליעד השקיע בתוכנית חיסכון בריבית שנתית נומינלית של 8%.</a:t>
          </a:r>
        </a:p>
        <a:p>
          <a:pPr algn="r" rtl="1"/>
          <a:r>
            <a:rPr lang="he-IL" sz="1100" b="1" baseline="0"/>
            <a:t>יהל השקיע בתוכנית חיסכון צמודה למדד בריבית שנתית של 5%. המדד באותה שנה היה 1.74% שנתי.</a:t>
          </a:r>
        </a:p>
        <a:p>
          <a:pPr algn="r" rtl="1"/>
          <a:endParaRPr lang="he-IL" sz="1100" b="1"/>
        </a:p>
        <a:p>
          <a:pPr algn="r" rtl="1"/>
          <a:r>
            <a:rPr lang="he-IL" sz="1100" b="1"/>
            <a:t>מהו הסכום שיקבל כל אחד</a:t>
          </a:r>
          <a:r>
            <a:rPr lang="he-IL" sz="1100" b="1" baseline="0"/>
            <a:t> מהם</a:t>
          </a:r>
          <a:r>
            <a:rPr lang="he-IL" sz="1100" b="1"/>
            <a:t> בתום שנה?</a:t>
          </a:r>
          <a:endParaRPr lang="en-US" sz="1100" b="1"/>
        </a:p>
      </xdr:txBody>
    </xdr:sp>
    <xdr:clientData/>
  </xdr:oneCellAnchor>
  <xdr:oneCellAnchor>
    <xdr:from>
      <xdr:col>8</xdr:col>
      <xdr:colOff>0</xdr:colOff>
      <xdr:row>69</xdr:row>
      <xdr:rowOff>0</xdr:rowOff>
    </xdr:from>
    <xdr:ext cx="7867651" cy="9906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5336B97-DD52-4DF9-B75B-96342AACC2C2}"/>
            </a:ext>
          </a:extLst>
        </xdr:cNvPr>
        <xdr:cNvSpPr txBox="1"/>
      </xdr:nvSpPr>
      <xdr:spPr>
        <a:xfrm>
          <a:off x="10977688229" y="12374880"/>
          <a:ext cx="7867651" cy="99060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 rtl="1"/>
          <a:r>
            <a:rPr lang="he-IL" sz="1100" b="1"/>
            <a:t>ליעד</a:t>
          </a:r>
          <a:r>
            <a:rPr lang="he-IL" sz="1100" b="1" baseline="0"/>
            <a:t> ויהל, 2 חברים טובים, החליטו להשקיע 50,000 ש"ח בתוכנית חיסכון לשנה.</a:t>
          </a:r>
        </a:p>
        <a:p>
          <a:pPr algn="r" rtl="1">
            <a:lnSpc>
              <a:spcPct val="150000"/>
            </a:lnSpc>
          </a:pPr>
          <a:r>
            <a:rPr lang="he-IL" sz="1100" b="1" baseline="0"/>
            <a:t>ליעד השקיע בתוכנית חיסכון בריבית שנתית נומינלית של 8%.</a:t>
          </a:r>
        </a:p>
        <a:p>
          <a:pPr algn="r" rtl="1"/>
          <a:r>
            <a:rPr lang="he-IL" sz="1100" b="1" baseline="0"/>
            <a:t>יהל השקיע בתוכנית חיסכון צמודה למדד בריבית שנתית של 5%. המדד באותה שנה היה 1.74% שנתי.</a:t>
          </a:r>
        </a:p>
        <a:p>
          <a:pPr algn="r" rtl="1"/>
          <a:endParaRPr lang="he-IL" sz="1100" b="1"/>
        </a:p>
        <a:p>
          <a:pPr algn="r" rtl="1"/>
          <a:r>
            <a:rPr lang="he-IL" sz="1100" b="1"/>
            <a:t>מהי</a:t>
          </a:r>
          <a:r>
            <a:rPr lang="he-IL" sz="1100" b="1" baseline="0"/>
            <a:t> האינפלציה שתביא את החברים לאדישות?</a:t>
          </a:r>
          <a:endParaRPr 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</xdr:colOff>
      <xdr:row>0</xdr:row>
      <xdr:rowOff>121920</xdr:rowOff>
    </xdr:from>
    <xdr:to>
      <xdr:col>17</xdr:col>
      <xdr:colOff>30480</xdr:colOff>
      <xdr:row>6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4D97419-483B-4DC7-80C2-76F29EDA796B}"/>
            </a:ext>
          </a:extLst>
        </xdr:cNvPr>
        <xdr:cNvSpPr/>
      </xdr:nvSpPr>
      <xdr:spPr>
        <a:xfrm flipH="1">
          <a:off x="15706572600" y="121920"/>
          <a:ext cx="7711439" cy="115062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בנק מציע ללקוחותיו הלוואה לא צמודה נושאת ריבית רבעונית בשיעור של 5%.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הקרן והריבית יוחזרו בתשלום אחד בתום שנה אחת. 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מדד המחירים לצרכן צפוי לעלות בשנה הקרובה בשיעור של 0.5% לחודש.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א. מהי הריבית השנתית הנומינלית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ב. מהי הריבית השנתית הריאלית?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952501</xdr:colOff>
      <xdr:row>26</xdr:row>
      <xdr:rowOff>251460</xdr:rowOff>
    </xdr:from>
    <xdr:to>
      <xdr:col>17</xdr:col>
      <xdr:colOff>22860</xdr:colOff>
      <xdr:row>27</xdr:row>
      <xdr:rowOff>129540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2185D44-1A4A-43DD-BA7F-CA60E6218A9A}"/>
            </a:ext>
          </a:extLst>
        </xdr:cNvPr>
        <xdr:cNvSpPr/>
      </xdr:nvSpPr>
      <xdr:spPr>
        <a:xfrm flipH="1">
          <a:off x="15706580220" y="4533900"/>
          <a:ext cx="7711439" cy="12573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סבא דויד מקבל קיצבה של 1,000 ש"ח בכל שבוע החל מסוף שבוע זה ולמשך 20 שנים הבאות, 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שיעור הריבית הנומילנית הנקובה במשק הנו 5.2%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שיעור האינפלציה השנתית הנקובה החזויה במשק הנו 1.9%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בהנחה ובשנה יש 52 שבועות, מהו הסכום שיסכים סבא דויד לקבל היום,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בתמורה לוויתור על הקצבה העתידית?</a:t>
          </a:r>
        </a:p>
      </xdr:txBody>
    </xdr:sp>
    <xdr:clientData/>
  </xdr:twoCellAnchor>
  <xdr:twoCellAnchor>
    <xdr:from>
      <xdr:col>8</xdr:col>
      <xdr:colOff>922020</xdr:colOff>
      <xdr:row>52</xdr:row>
      <xdr:rowOff>327660</xdr:rowOff>
    </xdr:from>
    <xdr:to>
      <xdr:col>16</xdr:col>
      <xdr:colOff>952499</xdr:colOff>
      <xdr:row>53</xdr:row>
      <xdr:rowOff>160020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C33E4E-6791-4868-A71A-2C2C8EDBDDC2}"/>
            </a:ext>
          </a:extLst>
        </xdr:cNvPr>
        <xdr:cNvSpPr/>
      </xdr:nvSpPr>
      <xdr:spPr>
        <a:xfrm flipH="1">
          <a:off x="15706610701" y="10370820"/>
          <a:ext cx="7711439" cy="10515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 חשב את האינפלציה השנתית החזויה הגלומה מ-2 התוכניות הבאות: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א. תוכנית צמודה למדד ומעניקה ריבית חודשית בשיעור של 0.3%.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ב. תוכנית חיסכון לא צמודה ומעניקה ריבית של 0.7% לחודש.</a:t>
          </a:r>
        </a:p>
      </xdr:txBody>
    </xdr:sp>
    <xdr:clientData/>
  </xdr:twoCellAnchor>
  <xdr:twoCellAnchor>
    <xdr:from>
      <xdr:col>8</xdr:col>
      <xdr:colOff>4</xdr:colOff>
      <xdr:row>71</xdr:row>
      <xdr:rowOff>0</xdr:rowOff>
    </xdr:from>
    <xdr:to>
      <xdr:col>16</xdr:col>
      <xdr:colOff>30483</xdr:colOff>
      <xdr:row>77</xdr:row>
      <xdr:rowOff>53340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983C8D1-6C9A-4052-BFDD-4C236C8D9010}"/>
            </a:ext>
          </a:extLst>
        </xdr:cNvPr>
        <xdr:cNvSpPr/>
      </xdr:nvSpPr>
      <xdr:spPr>
        <a:xfrm flipH="1">
          <a:off x="15707532717" y="14279880"/>
          <a:ext cx="7711439" cy="210312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אתה היום בן 50 וברצונך לחסוך במשך 20 השנים הבאות, כך שבגיל 70 ייצטבר לזכותך 500,000 ש"ח. לפנייך 2 תוכניות חיסכון: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א. מסלול לא צמוד-הפקדת סכום קבוע בכל רבעון וריבית שנתית אפקטיבית של 9%.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ב. מסלול צמוד-במסלול זה תידרש להפקיד סכום חד פעמי היום. ריבית אפקטיבית שנתית של 5%.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בנוסף, בתום תקופת החיסכון, בתום 20 שנה, תקבל מענק חד פעמי בגובה 50,000 ש"ח.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שיעור האינפלציה בפועל בכל אחת מ-5 השנים הראשונות עמד על 3%, ועל 6% בכל אחת מהשנים הבאות.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א. מהו שיעור האינפלציה השנתי החזוי מתוכניות אלו?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ב. מהו הסכום הרבעוני שעלייך להפקיד במסלול הלא צמוד?</a:t>
          </a:r>
        </a:p>
        <a:p>
          <a:pPr lvl="1" algn="r"/>
          <a:endParaRPr lang="he-IL" sz="14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</xdr:colOff>
      <xdr:row>94</xdr:row>
      <xdr:rowOff>106680</xdr:rowOff>
    </xdr:from>
    <xdr:to>
      <xdr:col>16</xdr:col>
      <xdr:colOff>30482</xdr:colOff>
      <xdr:row>98</xdr:row>
      <xdr:rowOff>1082040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2F92418-0528-4D29-854B-68530F3E69D1}"/>
            </a:ext>
          </a:extLst>
        </xdr:cNvPr>
        <xdr:cNvSpPr/>
      </xdr:nvSpPr>
      <xdr:spPr>
        <a:xfrm flipH="1">
          <a:off x="15715213678" y="19941540"/>
          <a:ext cx="8359139" cy="16764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ליעד לקח הלוואה צמודה בסך 50,000 ש"ח לתקופה של 3 שנים, בריבית שנתית נקובה של 6%.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ההלוואה נפרעת ב-36 תשלומים חודשיים שווים. המדד ביום לקיחת ההלוואה-128.4 נקודות.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המדד כעבור שנה-135.1 נקודות.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א. הציגו את לוח הסילוקין של ההלוואה.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ב. חשבו מהו התשלום בפועל אשר ישולם כעבור שנה מיום לקיחת ההלוואה.</a:t>
          </a:r>
        </a:p>
        <a:p>
          <a:pPr lvl="1" algn="r"/>
          <a:r>
            <a:rPr lang="he-IL" sz="1400" b="1" baseline="0">
              <a:solidFill>
                <a:sysClr val="windowText" lastClr="000000"/>
              </a:solidFill>
            </a:rPr>
            <a:t>ג. מה תהיה יתרת ההלוואה בתום השנה הראשונה?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F1:R89"/>
  <sheetViews>
    <sheetView rightToLeft="1" tabSelected="1" workbookViewId="0">
      <selection activeCell="C103" sqref="C103"/>
    </sheetView>
  </sheetViews>
  <sheetFormatPr defaultRowHeight="13.8" x14ac:dyDescent="0.25"/>
  <cols>
    <col min="9" max="9" width="34.296875" bestFit="1" customWidth="1"/>
    <col min="10" max="10" width="11.09765625" bestFit="1" customWidth="1"/>
    <col min="11" max="11" width="12.296875" bestFit="1" customWidth="1"/>
    <col min="12" max="12" width="16.8984375" bestFit="1" customWidth="1"/>
    <col min="13" max="14" width="18.3984375" bestFit="1" customWidth="1"/>
  </cols>
  <sheetData>
    <row r="1" spans="7:18" ht="22.8" x14ac:dyDescent="0.4">
      <c r="I1" s="13" t="s">
        <v>15</v>
      </c>
      <c r="J1" s="14"/>
      <c r="K1" s="14"/>
      <c r="L1" s="14"/>
      <c r="M1" s="14"/>
      <c r="N1" s="14"/>
      <c r="O1" s="14"/>
      <c r="P1" s="14"/>
      <c r="Q1" s="14"/>
      <c r="R1" s="15"/>
    </row>
    <row r="3" spans="7:18" x14ac:dyDescent="0.25">
      <c r="I3" s="4"/>
    </row>
    <row r="10" spans="7:18" x14ac:dyDescent="0.25">
      <c r="I10" s="4"/>
    </row>
    <row r="13" spans="7:18" ht="20.399999999999999" x14ac:dyDescent="0.35">
      <c r="G13" s="31" t="s">
        <v>28</v>
      </c>
      <c r="J13" s="3" t="s">
        <v>16</v>
      </c>
      <c r="K13" s="3" t="s">
        <v>17</v>
      </c>
      <c r="L13" s="3" t="s">
        <v>18</v>
      </c>
      <c r="M13" s="3" t="s">
        <v>19</v>
      </c>
      <c r="N13" s="3"/>
    </row>
    <row r="14" spans="7:18" x14ac:dyDescent="0.25">
      <c r="J14" s="7">
        <v>44166</v>
      </c>
      <c r="K14">
        <v>105</v>
      </c>
    </row>
    <row r="15" spans="7:18" x14ac:dyDescent="0.25">
      <c r="J15" s="7">
        <v>44256</v>
      </c>
      <c r="K15">
        <v>125</v>
      </c>
      <c r="L15" s="8">
        <f>(K15/K14)-1</f>
        <v>0.19047619047619047</v>
      </c>
      <c r="N15" s="2"/>
    </row>
    <row r="16" spans="7:18" x14ac:dyDescent="0.25">
      <c r="J16" s="7">
        <v>44348</v>
      </c>
      <c r="K16">
        <v>115</v>
      </c>
      <c r="L16" s="8">
        <f t="shared" ref="L16:L18" si="0">(K16/K15)-1</f>
        <v>-7.999999999999996E-2</v>
      </c>
      <c r="N16" s="2"/>
    </row>
    <row r="17" spans="10:14" x14ac:dyDescent="0.25">
      <c r="J17" s="7">
        <v>44440</v>
      </c>
      <c r="K17">
        <v>126</v>
      </c>
      <c r="L17" s="8">
        <f t="shared" si="0"/>
        <v>9.565217391304337E-2</v>
      </c>
      <c r="N17" s="2"/>
    </row>
    <row r="18" spans="10:14" x14ac:dyDescent="0.25">
      <c r="J18" s="7">
        <v>44531</v>
      </c>
      <c r="K18">
        <v>126</v>
      </c>
      <c r="L18" s="8">
        <f t="shared" si="0"/>
        <v>0</v>
      </c>
      <c r="N18" s="2"/>
    </row>
    <row r="19" spans="10:14" x14ac:dyDescent="0.25">
      <c r="M19" s="9">
        <f>K18/K14-1</f>
        <v>0.19999999999999996</v>
      </c>
      <c r="N19" s="10"/>
    </row>
    <row r="20" spans="10:14" x14ac:dyDescent="0.25">
      <c r="M20" s="3"/>
      <c r="N20" s="10"/>
    </row>
    <row r="41" spans="6:9" x14ac:dyDescent="0.25">
      <c r="I41" s="3" t="s">
        <v>20</v>
      </c>
    </row>
    <row r="44" spans="6:9" ht="20.399999999999999" x14ac:dyDescent="0.35">
      <c r="F44" s="31" t="s">
        <v>33</v>
      </c>
    </row>
    <row r="49" spans="9:10" x14ac:dyDescent="0.25">
      <c r="I49" t="s">
        <v>0</v>
      </c>
    </row>
    <row r="50" spans="9:10" x14ac:dyDescent="0.25">
      <c r="I50" s="17" t="s">
        <v>21</v>
      </c>
      <c r="J50" s="34">
        <v>0.08</v>
      </c>
    </row>
    <row r="51" spans="9:10" x14ac:dyDescent="0.25">
      <c r="I51" s="17" t="s">
        <v>22</v>
      </c>
      <c r="J51" s="35">
        <v>0.05</v>
      </c>
    </row>
    <row r="52" spans="9:10" x14ac:dyDescent="0.25">
      <c r="I52" s="17" t="s">
        <v>23</v>
      </c>
      <c r="J52" s="36">
        <v>1.7399999999999999E-2</v>
      </c>
    </row>
    <row r="53" spans="9:10" x14ac:dyDescent="0.25">
      <c r="I53" s="17" t="s">
        <v>24</v>
      </c>
      <c r="J53" s="33">
        <v>50000</v>
      </c>
    </row>
    <row r="54" spans="9:10" x14ac:dyDescent="0.25">
      <c r="I54" s="17" t="s">
        <v>25</v>
      </c>
      <c r="J54" s="17">
        <v>1</v>
      </c>
    </row>
    <row r="55" spans="9:10" x14ac:dyDescent="0.25">
      <c r="I55" s="17" t="s">
        <v>58</v>
      </c>
      <c r="J55" s="38">
        <f>FV(J50,J54,,-J53)</f>
        <v>54000</v>
      </c>
    </row>
    <row r="56" spans="9:10" x14ac:dyDescent="0.25">
      <c r="I56" s="17" t="s">
        <v>59</v>
      </c>
      <c r="J56" s="37">
        <f>FV(J51,J54,,-J53)*(1+J52)</f>
        <v>53413.500000000007</v>
      </c>
    </row>
    <row r="60" spans="9:10" x14ac:dyDescent="0.25">
      <c r="I60" s="3" t="s">
        <v>60</v>
      </c>
    </row>
    <row r="61" spans="9:10" x14ac:dyDescent="0.25">
      <c r="I61" t="s">
        <v>26</v>
      </c>
    </row>
    <row r="70" spans="6:12" ht="20.399999999999999" x14ac:dyDescent="0.35">
      <c r="F70" s="31" t="s">
        <v>35</v>
      </c>
    </row>
    <row r="77" spans="6:12" x14ac:dyDescent="0.25">
      <c r="I77" t="s">
        <v>0</v>
      </c>
    </row>
    <row r="78" spans="6:12" x14ac:dyDescent="0.25">
      <c r="I78" s="17" t="s">
        <v>21</v>
      </c>
      <c r="J78" s="34">
        <v>0.08</v>
      </c>
      <c r="K78" s="39">
        <f>1+J78</f>
        <v>1.08</v>
      </c>
      <c r="L78" s="40">
        <f>K78/K79-1</f>
        <v>2.8571428571428692E-2</v>
      </c>
    </row>
    <row r="79" spans="6:12" x14ac:dyDescent="0.25">
      <c r="I79" s="17" t="s">
        <v>22</v>
      </c>
      <c r="J79" s="35">
        <v>0.05</v>
      </c>
      <c r="K79" s="39">
        <f>1+J79</f>
        <v>1.05</v>
      </c>
    </row>
    <row r="80" spans="6:12" x14ac:dyDescent="0.25">
      <c r="I80" s="17" t="s">
        <v>23</v>
      </c>
      <c r="J80" s="36">
        <v>1.7399999999999999E-2</v>
      </c>
      <c r="K80" t="s">
        <v>61</v>
      </c>
    </row>
    <row r="81" spans="9:10" x14ac:dyDescent="0.25">
      <c r="I81" s="17" t="s">
        <v>24</v>
      </c>
      <c r="J81" s="33">
        <v>50000</v>
      </c>
    </row>
    <row r="82" spans="9:10" x14ac:dyDescent="0.25">
      <c r="I82" s="17" t="s">
        <v>25</v>
      </c>
      <c r="J82" s="17">
        <v>1</v>
      </c>
    </row>
    <row r="83" spans="9:10" x14ac:dyDescent="0.25">
      <c r="I83" s="17" t="s">
        <v>58</v>
      </c>
      <c r="J83" s="38">
        <f>FV(J78,J82,,-J81)</f>
        <v>54000</v>
      </c>
    </row>
    <row r="84" spans="9:10" x14ac:dyDescent="0.25">
      <c r="I84" s="17" t="s">
        <v>59</v>
      </c>
      <c r="J84" s="37">
        <f>FV(J79,J82,,-J81)*(1+J80)</f>
        <v>53413.500000000007</v>
      </c>
    </row>
    <row r="88" spans="9:10" x14ac:dyDescent="0.25">
      <c r="I88" s="3" t="s">
        <v>60</v>
      </c>
    </row>
    <row r="89" spans="9:10" x14ac:dyDescent="0.25">
      <c r="I89" t="s">
        <v>26</v>
      </c>
    </row>
  </sheetData>
  <mergeCells count="1">
    <mergeCell ref="I1:R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06A5A-705E-43DB-89A3-53FD08D143A5}">
  <sheetPr>
    <tabColor rgb="FF7030A0"/>
  </sheetPr>
  <dimension ref="H1:Q996"/>
  <sheetViews>
    <sheetView rightToLeft="1" topLeftCell="C98" workbookViewId="0">
      <selection activeCell="H120" sqref="H120"/>
    </sheetView>
  </sheetViews>
  <sheetFormatPr defaultColWidth="12.59765625" defaultRowHeight="15" customHeight="1" x14ac:dyDescent="0.25"/>
  <cols>
    <col min="6" max="6" width="6.69921875" customWidth="1"/>
    <col min="11" max="11" width="14.09765625" bestFit="1" customWidth="1"/>
    <col min="14" max="14" width="19.59765625" bestFit="1" customWidth="1"/>
  </cols>
  <sheetData>
    <row r="1" spans="8:17" ht="18.75" customHeight="1" x14ac:dyDescent="0.25"/>
    <row r="2" spans="8:17" ht="23.4" customHeight="1" x14ac:dyDescent="0.25"/>
    <row r="3" spans="8:17" ht="14.25" customHeight="1" x14ac:dyDescent="0.35">
      <c r="H3" s="31" t="s">
        <v>36</v>
      </c>
    </row>
    <row r="4" spans="8:17" ht="14.25" customHeight="1" x14ac:dyDescent="0.25"/>
    <row r="5" spans="8:17" ht="14.25" customHeight="1" x14ac:dyDescent="0.25"/>
    <row r="6" spans="8:17" ht="14.25" customHeight="1" x14ac:dyDescent="0.25"/>
    <row r="7" spans="8:17" ht="14.25" customHeight="1" x14ac:dyDescent="0.25"/>
    <row r="8" spans="8:17" ht="14.25" customHeight="1" x14ac:dyDescent="0.25">
      <c r="J8" t="s">
        <v>37</v>
      </c>
      <c r="L8" s="32">
        <v>0.05</v>
      </c>
      <c r="M8" s="17" t="s">
        <v>62</v>
      </c>
      <c r="N8" s="17" t="s">
        <v>63</v>
      </c>
      <c r="Q8" s="3" t="s">
        <v>60</v>
      </c>
    </row>
    <row r="9" spans="8:17" ht="14.25" customHeight="1" x14ac:dyDescent="0.25">
      <c r="L9" s="17">
        <v>4</v>
      </c>
      <c r="M9" s="17" t="s">
        <v>64</v>
      </c>
      <c r="Q9" t="s">
        <v>26</v>
      </c>
    </row>
    <row r="10" spans="8:17" ht="14.25" customHeight="1" x14ac:dyDescent="0.25">
      <c r="L10" s="32">
        <v>5.0000000000000001E-3</v>
      </c>
      <c r="M10" s="17" t="s">
        <v>65</v>
      </c>
      <c r="N10" t="s">
        <v>66</v>
      </c>
    </row>
    <row r="11" spans="8:17" ht="14.25" customHeight="1" x14ac:dyDescent="0.25"/>
    <row r="12" spans="8:17" ht="14.25" customHeight="1" x14ac:dyDescent="0.25"/>
    <row r="13" spans="8:17" ht="14.25" customHeight="1" x14ac:dyDescent="0.25">
      <c r="K13" s="39">
        <f>(1+L13)</f>
        <v>1.21550625</v>
      </c>
      <c r="L13" s="2">
        <f>(1+L8)^(4)-1</f>
        <v>0.21550625000000001</v>
      </c>
      <c r="M13" s="17" t="s">
        <v>62</v>
      </c>
      <c r="N13" t="s">
        <v>67</v>
      </c>
    </row>
    <row r="14" spans="8:17" ht="14.25" customHeight="1" x14ac:dyDescent="0.25">
      <c r="K14" s="39">
        <f>(1+L14)</f>
        <v>1.0616778118644976</v>
      </c>
      <c r="L14" s="2">
        <f>(1+L10)^(12)-1</f>
        <v>6.1677811864497611E-2</v>
      </c>
      <c r="M14" s="17" t="s">
        <v>65</v>
      </c>
      <c r="N14" t="s">
        <v>67</v>
      </c>
    </row>
    <row r="15" spans="8:17" ht="14.25" customHeight="1" x14ac:dyDescent="0.25">
      <c r="J15" t="s">
        <v>38</v>
      </c>
    </row>
    <row r="16" spans="8:17" ht="14.25" customHeight="1" x14ac:dyDescent="0.25">
      <c r="K16" s="40">
        <f>K13/K14-1</f>
        <v>0.14489182727229832</v>
      </c>
    </row>
    <row r="17" spans="8:16" ht="14.25" customHeight="1" x14ac:dyDescent="0.25"/>
    <row r="18" spans="8:16" ht="19.5" customHeight="1" x14ac:dyDescent="0.25"/>
    <row r="19" spans="8:16" ht="14.25" customHeight="1" x14ac:dyDescent="0.25"/>
    <row r="20" spans="8:16" ht="14.25" customHeight="1" x14ac:dyDescent="0.25"/>
    <row r="21" spans="8:16" ht="14.25" customHeight="1" x14ac:dyDescent="0.25"/>
    <row r="22" spans="8:16" ht="14.25" customHeight="1" x14ac:dyDescent="0.25"/>
    <row r="23" spans="8:16" ht="14.25" customHeight="1" x14ac:dyDescent="0.25"/>
    <row r="24" spans="8:16" ht="14.25" customHeight="1" x14ac:dyDescent="0.25"/>
    <row r="25" spans="8:16" ht="14.25" customHeight="1" x14ac:dyDescent="0.25"/>
    <row r="26" spans="8:16" ht="14.25" customHeight="1" x14ac:dyDescent="0.25"/>
    <row r="27" spans="8:16" ht="108.6" customHeight="1" x14ac:dyDescent="0.35">
      <c r="H27" s="31" t="s">
        <v>39</v>
      </c>
    </row>
    <row r="28" spans="8:16" ht="14.25" customHeight="1" x14ac:dyDescent="0.25"/>
    <row r="29" spans="8:16" ht="14.25" customHeight="1" x14ac:dyDescent="0.25"/>
    <row r="30" spans="8:16" ht="14.25" customHeight="1" x14ac:dyDescent="0.25">
      <c r="J30">
        <v>1000</v>
      </c>
      <c r="K30" t="s">
        <v>56</v>
      </c>
      <c r="N30" s="2">
        <v>5.1999999999999998E-2</v>
      </c>
      <c r="O30" s="16" t="s">
        <v>29</v>
      </c>
      <c r="P30" s="16" t="s">
        <v>30</v>
      </c>
    </row>
    <row r="31" spans="8:16" ht="14.25" customHeight="1" x14ac:dyDescent="0.25">
      <c r="J31">
        <f>20*52</f>
        <v>1040</v>
      </c>
      <c r="K31" t="s">
        <v>64</v>
      </c>
      <c r="N31" s="2">
        <v>1.9E-2</v>
      </c>
      <c r="O31" s="16" t="s">
        <v>31</v>
      </c>
      <c r="P31" s="16" t="s">
        <v>30</v>
      </c>
    </row>
    <row r="32" spans="8:16" ht="14.25" customHeight="1" x14ac:dyDescent="0.25">
      <c r="J32" s="12">
        <f>PV(J33,J31,J30,,)</f>
        <v>-761236.43372518709</v>
      </c>
      <c r="K32" t="s">
        <v>2</v>
      </c>
    </row>
    <row r="33" spans="10:17" ht="14.25" customHeight="1" x14ac:dyDescent="0.25">
      <c r="J33" s="2">
        <f>M38</f>
        <v>6.3438359061107619E-4</v>
      </c>
      <c r="K33" t="s">
        <v>68</v>
      </c>
      <c r="M33">
        <f>(1+N33)</f>
        <v>1.0009999999999999</v>
      </c>
      <c r="N33">
        <f>N30/Q33</f>
        <v>1E-3</v>
      </c>
      <c r="O33" s="16" t="s">
        <v>29</v>
      </c>
      <c r="P33" s="16" t="s">
        <v>34</v>
      </c>
      <c r="Q33">
        <v>52</v>
      </c>
    </row>
    <row r="34" spans="10:17" ht="14.25" customHeight="1" x14ac:dyDescent="0.25">
      <c r="M34">
        <f>(1+N34)</f>
        <v>1.0003653846153846</v>
      </c>
      <c r="N34">
        <f>N31/Q34</f>
        <v>3.653846153846154E-4</v>
      </c>
      <c r="O34" s="16" t="s">
        <v>31</v>
      </c>
      <c r="P34" s="16" t="s">
        <v>34</v>
      </c>
      <c r="Q34">
        <v>52</v>
      </c>
    </row>
    <row r="35" spans="10:17" ht="14.25" customHeight="1" x14ac:dyDescent="0.25">
      <c r="K35" s="3" t="s">
        <v>60</v>
      </c>
    </row>
    <row r="36" spans="10:17" ht="14.25" customHeight="1" x14ac:dyDescent="0.25">
      <c r="K36" t="s">
        <v>26</v>
      </c>
    </row>
    <row r="37" spans="10:17" ht="14.25" customHeight="1" x14ac:dyDescent="0.25"/>
    <row r="38" spans="10:17" ht="14.25" customHeight="1" x14ac:dyDescent="0.25">
      <c r="M38" s="2">
        <f>M33/M34-1</f>
        <v>6.3438359061107619E-4</v>
      </c>
      <c r="O38" s="30" t="s">
        <v>68</v>
      </c>
      <c r="P38" s="30" t="s">
        <v>2</v>
      </c>
    </row>
    <row r="39" spans="10:17" ht="14.25" customHeight="1" x14ac:dyDescent="0.25">
      <c r="O39" s="30" t="s">
        <v>62</v>
      </c>
      <c r="P39" s="30" t="s">
        <v>69</v>
      </c>
    </row>
    <row r="40" spans="10:17" ht="14.25" customHeight="1" x14ac:dyDescent="0.25"/>
    <row r="41" spans="10:17" ht="14.25" customHeight="1" x14ac:dyDescent="0.25"/>
    <row r="42" spans="10:17" ht="14.25" customHeight="1" x14ac:dyDescent="0.25"/>
    <row r="43" spans="10:17" ht="14.25" customHeight="1" x14ac:dyDescent="0.25"/>
    <row r="44" spans="10:17" ht="14.25" customHeight="1" x14ac:dyDescent="0.25"/>
    <row r="45" spans="10:17" ht="14.25" customHeight="1" x14ac:dyDescent="0.25"/>
    <row r="46" spans="10:17" ht="14.25" customHeight="1" x14ac:dyDescent="0.25"/>
    <row r="47" spans="10:17" ht="14.25" customHeight="1" x14ac:dyDescent="0.25"/>
    <row r="48" spans="10:17" ht="14.25" customHeight="1" x14ac:dyDescent="0.25"/>
    <row r="49" spans="8:17" ht="14.25" customHeight="1" x14ac:dyDescent="0.25"/>
    <row r="50" spans="8:17" ht="14.25" customHeight="1" x14ac:dyDescent="0.25"/>
    <row r="51" spans="8:17" ht="14.25" customHeight="1" x14ac:dyDescent="0.25"/>
    <row r="52" spans="8:17" ht="14.25" customHeight="1" x14ac:dyDescent="0.25"/>
    <row r="53" spans="8:17" ht="96" customHeight="1" x14ac:dyDescent="0.35">
      <c r="H53" s="31" t="s">
        <v>70</v>
      </c>
    </row>
    <row r="54" spans="8:17" ht="14.25" customHeight="1" x14ac:dyDescent="0.25"/>
    <row r="55" spans="8:17" ht="14.25" customHeight="1" x14ac:dyDescent="0.25">
      <c r="O55" s="17" t="s">
        <v>67</v>
      </c>
      <c r="P55" s="17" t="s">
        <v>32</v>
      </c>
    </row>
    <row r="56" spans="8:17" ht="14.25" customHeight="1" x14ac:dyDescent="0.25">
      <c r="K56" s="3" t="s">
        <v>60</v>
      </c>
      <c r="N56">
        <f>1+O56</f>
        <v>1.0873106619155053</v>
      </c>
      <c r="O56" s="17">
        <f>(1+P56)^12-1</f>
        <v>8.7310661915505294E-2</v>
      </c>
      <c r="P56" s="32">
        <v>7.0000000000000001E-3</v>
      </c>
      <c r="Q56" s="16" t="s">
        <v>29</v>
      </c>
    </row>
    <row r="57" spans="8:17" ht="14.25" customHeight="1" x14ac:dyDescent="0.25">
      <c r="K57" t="s">
        <v>26</v>
      </c>
      <c r="N57">
        <f>1+O57</f>
        <v>1.0365999802881298</v>
      </c>
      <c r="O57" s="17">
        <f>(1+P57)^12-1</f>
        <v>3.659998028812983E-2</v>
      </c>
      <c r="P57" s="32">
        <v>3.0000000000000001E-3</v>
      </c>
      <c r="Q57" s="16" t="s">
        <v>73</v>
      </c>
    </row>
    <row r="58" spans="8:17" ht="14.25" customHeight="1" x14ac:dyDescent="0.25"/>
    <row r="59" spans="8:17" ht="14.25" customHeight="1" x14ac:dyDescent="0.25">
      <c r="N59" s="2">
        <f>N56/N57-1</f>
        <v>4.8920203156168407E-2</v>
      </c>
    </row>
    <row r="60" spans="8:17" ht="14.25" customHeight="1" x14ac:dyDescent="0.25"/>
    <row r="61" spans="8:17" ht="14.25" customHeight="1" x14ac:dyDescent="0.25"/>
    <row r="62" spans="8:17" ht="14.25" customHeight="1" x14ac:dyDescent="0.25"/>
    <row r="63" spans="8:17" ht="14.25" customHeight="1" x14ac:dyDescent="0.25"/>
    <row r="64" spans="8:17" ht="14.25" customHeight="1" x14ac:dyDescent="0.25"/>
    <row r="65" spans="8:16" ht="14.25" customHeight="1" x14ac:dyDescent="0.25"/>
    <row r="66" spans="8:16" ht="14.25" customHeight="1" x14ac:dyDescent="0.25"/>
    <row r="67" spans="8:16" ht="14.25" customHeight="1" x14ac:dyDescent="0.25"/>
    <row r="68" spans="8:16" ht="14.25" customHeight="1" x14ac:dyDescent="0.25"/>
    <row r="69" spans="8:16" ht="14.25" customHeight="1" x14ac:dyDescent="0.25"/>
    <row r="70" spans="8:16" ht="14.25" customHeight="1" x14ac:dyDescent="0.25"/>
    <row r="71" spans="8:16" ht="3" customHeight="1" x14ac:dyDescent="0.25"/>
    <row r="72" spans="8:16" ht="92.4" customHeight="1" x14ac:dyDescent="0.35">
      <c r="H72" s="31" t="s">
        <v>71</v>
      </c>
    </row>
    <row r="73" spans="8:16" ht="14.25" customHeight="1" x14ac:dyDescent="0.25"/>
    <row r="74" spans="8:16" ht="14.25" customHeight="1" x14ac:dyDescent="0.25"/>
    <row r="75" spans="8:16" ht="14.25" customHeight="1" x14ac:dyDescent="0.25"/>
    <row r="76" spans="8:16" ht="14.25" customHeight="1" x14ac:dyDescent="0.25"/>
    <row r="77" spans="8:16" ht="14.25" customHeight="1" x14ac:dyDescent="0.25"/>
    <row r="78" spans="8:16" ht="14.25" customHeight="1" x14ac:dyDescent="0.25"/>
    <row r="79" spans="8:16" ht="14.25" customHeight="1" x14ac:dyDescent="0.25">
      <c r="I79" s="30" t="s">
        <v>37</v>
      </c>
      <c r="N79" s="17" t="s">
        <v>67</v>
      </c>
      <c r="O79" s="17"/>
    </row>
    <row r="80" spans="8:16" ht="14.25" customHeight="1" x14ac:dyDescent="0.25">
      <c r="J80" s="3" t="s">
        <v>60</v>
      </c>
      <c r="M80">
        <f>1+N80</f>
        <v>1.0900000000000001</v>
      </c>
      <c r="N80" s="32">
        <f>O80</f>
        <v>0.09</v>
      </c>
      <c r="O80" s="32">
        <v>0.09</v>
      </c>
      <c r="P80" s="16" t="s">
        <v>29</v>
      </c>
    </row>
    <row r="81" spans="9:16" ht="14.25" customHeight="1" x14ac:dyDescent="0.25">
      <c r="J81" t="s">
        <v>26</v>
      </c>
      <c r="M81">
        <f>1+N81</f>
        <v>1.05</v>
      </c>
      <c r="N81" s="32">
        <f>O81</f>
        <v>0.05</v>
      </c>
      <c r="O81" s="32">
        <v>0.05</v>
      </c>
      <c r="P81" s="16" t="s">
        <v>73</v>
      </c>
    </row>
    <row r="82" spans="9:16" ht="14.25" customHeight="1" x14ac:dyDescent="0.25"/>
    <row r="83" spans="9:16" ht="14.25" customHeight="1" x14ac:dyDescent="0.25">
      <c r="M83" s="2">
        <f>M80/M81-1</f>
        <v>3.8095238095238182E-2</v>
      </c>
    </row>
    <row r="84" spans="9:16" ht="14.25" customHeight="1" x14ac:dyDescent="0.25"/>
    <row r="85" spans="9:16" ht="14.25" customHeight="1" x14ac:dyDescent="0.25">
      <c r="I85" s="30" t="s">
        <v>38</v>
      </c>
    </row>
    <row r="86" spans="9:16" ht="14.25" customHeight="1" x14ac:dyDescent="0.25">
      <c r="J86" s="12">
        <f>PMT(J89,J87,,J90)</f>
        <v>-2364.9259333077744</v>
      </c>
      <c r="K86" t="s">
        <v>56</v>
      </c>
    </row>
    <row r="87" spans="9:16" ht="14.25" customHeight="1" x14ac:dyDescent="0.25">
      <c r="J87">
        <f>20*4</f>
        <v>80</v>
      </c>
      <c r="K87" t="s">
        <v>64</v>
      </c>
    </row>
    <row r="88" spans="9:16" ht="14.25" customHeight="1" x14ac:dyDescent="0.25">
      <c r="J88" s="12">
        <v>0</v>
      </c>
      <c r="K88" t="s">
        <v>2</v>
      </c>
    </row>
    <row r="89" spans="9:16" ht="14.25" customHeight="1" x14ac:dyDescent="0.25">
      <c r="J89" s="2">
        <f>(1+N80)^(0.25)-1</f>
        <v>2.1778180864641117E-2</v>
      </c>
      <c r="K89" t="s">
        <v>62</v>
      </c>
    </row>
    <row r="90" spans="9:16" ht="14.25" customHeight="1" x14ac:dyDescent="0.25">
      <c r="J90">
        <v>500000</v>
      </c>
      <c r="K90" t="s">
        <v>69</v>
      </c>
    </row>
    <row r="91" spans="9:16" ht="14.25" customHeight="1" x14ac:dyDescent="0.25"/>
    <row r="92" spans="9:16" ht="14.25" customHeight="1" x14ac:dyDescent="0.25"/>
    <row r="93" spans="9:16" ht="14.25" customHeight="1" x14ac:dyDescent="0.25"/>
    <row r="94" spans="9:16" ht="14.25" customHeight="1" x14ac:dyDescent="0.25"/>
    <row r="95" spans="9:16" ht="14.25" customHeight="1" x14ac:dyDescent="0.25"/>
    <row r="96" spans="9:16" ht="14.25" customHeight="1" x14ac:dyDescent="0.25"/>
    <row r="97" spans="8:16" ht="14.25" customHeight="1" x14ac:dyDescent="0.25"/>
    <row r="98" spans="8:16" ht="14.25" customHeight="1" x14ac:dyDescent="0.25"/>
    <row r="99" spans="8:16" ht="96" customHeight="1" x14ac:dyDescent="0.35">
      <c r="H99" s="31" t="s">
        <v>72</v>
      </c>
      <c r="I99" s="6" t="s">
        <v>0</v>
      </c>
    </row>
    <row r="100" spans="8:16" ht="14.25" customHeight="1" x14ac:dyDescent="0.25">
      <c r="I100" s="5" t="s">
        <v>1</v>
      </c>
      <c r="J100" s="1">
        <v>50000</v>
      </c>
      <c r="K100" t="s">
        <v>2</v>
      </c>
      <c r="M100" s="2">
        <v>0.06</v>
      </c>
      <c r="N100" s="1" t="s">
        <v>12</v>
      </c>
      <c r="O100">
        <v>135.1</v>
      </c>
      <c r="P100" t="s">
        <v>74</v>
      </c>
    </row>
    <row r="101" spans="8:16" ht="14.25" customHeight="1" x14ac:dyDescent="0.25">
      <c r="I101" s="5" t="s">
        <v>3</v>
      </c>
      <c r="J101">
        <f>3*12</f>
        <v>36</v>
      </c>
      <c r="K101" t="s">
        <v>4</v>
      </c>
      <c r="M101">
        <v>12</v>
      </c>
      <c r="O101">
        <v>128.4</v>
      </c>
      <c r="P101" t="s">
        <v>75</v>
      </c>
    </row>
    <row r="102" spans="8:16" ht="14.25" customHeight="1" x14ac:dyDescent="0.25">
      <c r="I102" s="5" t="s">
        <v>5</v>
      </c>
      <c r="J102" s="2">
        <f>M100/M101</f>
        <v>5.0000000000000001E-3</v>
      </c>
      <c r="K102" t="s">
        <v>6</v>
      </c>
      <c r="N102" s="2"/>
      <c r="P102" s="41">
        <f>M116*O100/O101</f>
        <v>1600.4687498851615</v>
      </c>
    </row>
    <row r="103" spans="8:16" ht="14.25" customHeight="1" thickBot="1" x14ac:dyDescent="0.3">
      <c r="I103" s="5"/>
      <c r="J103" s="41">
        <f>PMT(J102,J101,-J100,,)</f>
        <v>1521.0968725777554</v>
      </c>
      <c r="K103" t="s">
        <v>56</v>
      </c>
    </row>
    <row r="104" spans="8:16" ht="14.25" customHeight="1" thickBot="1" x14ac:dyDescent="0.3">
      <c r="I104" s="42" t="s">
        <v>7</v>
      </c>
      <c r="J104" s="42" t="s">
        <v>14</v>
      </c>
      <c r="K104" s="42" t="s">
        <v>8</v>
      </c>
      <c r="L104" s="42" t="s">
        <v>9</v>
      </c>
      <c r="M104" s="42" t="s">
        <v>10</v>
      </c>
      <c r="N104" s="42" t="s">
        <v>11</v>
      </c>
    </row>
    <row r="105" spans="8:16" ht="14.25" customHeight="1" thickBot="1" x14ac:dyDescent="0.3">
      <c r="I105" s="43">
        <v>1</v>
      </c>
      <c r="J105" s="44">
        <f>J100</f>
        <v>50000</v>
      </c>
      <c r="K105" s="45">
        <f>M105-L105</f>
        <v>1271.0968725777554</v>
      </c>
      <c r="L105" s="45">
        <f>$J$102*J105</f>
        <v>250</v>
      </c>
      <c r="M105" s="46">
        <f>$J$103</f>
        <v>1521.0968725777554</v>
      </c>
      <c r="N105" s="45">
        <f>J105-K105</f>
        <v>48728.903127422243</v>
      </c>
      <c r="O105" s="30" t="s">
        <v>13</v>
      </c>
    </row>
    <row r="106" spans="8:16" ht="14.25" customHeight="1" thickBot="1" x14ac:dyDescent="0.3">
      <c r="I106" s="43">
        <v>2</v>
      </c>
      <c r="J106" s="45">
        <f>N105</f>
        <v>48728.903127422243</v>
      </c>
      <c r="K106" s="45">
        <f t="shared" ref="K106:K140" si="0">M106-L106</f>
        <v>1277.4523569406442</v>
      </c>
      <c r="L106" s="45">
        <f t="shared" ref="L106:L140" si="1">$J$102*J106</f>
        <v>243.64451563711123</v>
      </c>
      <c r="M106" s="46">
        <f t="shared" ref="M106:M140" si="2">$J$103</f>
        <v>1521.0968725777554</v>
      </c>
      <c r="N106" s="45">
        <f t="shared" ref="N106:N140" si="3">J106-K106</f>
        <v>47451.450770481599</v>
      </c>
      <c r="P106" s="41">
        <f>N116*O100/O101</f>
        <v>36111.162295776543</v>
      </c>
    </row>
    <row r="107" spans="8:16" ht="14.25" customHeight="1" thickBot="1" x14ac:dyDescent="0.3">
      <c r="I107" s="43">
        <v>3</v>
      </c>
      <c r="J107" s="45">
        <f t="shared" ref="J107:J140" si="4">N106</f>
        <v>47451.450770481599</v>
      </c>
      <c r="K107" s="45">
        <f t="shared" si="0"/>
        <v>1283.8396187253475</v>
      </c>
      <c r="L107" s="45">
        <f t="shared" si="1"/>
        <v>237.25725385240798</v>
      </c>
      <c r="M107" s="46">
        <f t="shared" si="2"/>
        <v>1521.0968725777554</v>
      </c>
      <c r="N107" s="45">
        <f t="shared" si="3"/>
        <v>46167.611151756253</v>
      </c>
    </row>
    <row r="108" spans="8:16" ht="14.4" thickBot="1" x14ac:dyDescent="0.3">
      <c r="I108" s="43">
        <v>4</v>
      </c>
      <c r="J108" s="45">
        <f t="shared" si="4"/>
        <v>46167.611151756253</v>
      </c>
      <c r="K108" s="45">
        <f t="shared" si="0"/>
        <v>1290.2588168189741</v>
      </c>
      <c r="L108" s="45">
        <f t="shared" si="1"/>
        <v>230.83805575878128</v>
      </c>
      <c r="M108" s="46">
        <f t="shared" si="2"/>
        <v>1521.0968725777554</v>
      </c>
      <c r="N108" s="45">
        <f t="shared" si="3"/>
        <v>44877.352334937277</v>
      </c>
    </row>
    <row r="109" spans="8:16" ht="14.25" customHeight="1" thickBot="1" x14ac:dyDescent="0.3">
      <c r="I109" s="43">
        <v>5</v>
      </c>
      <c r="J109" s="45">
        <f t="shared" si="4"/>
        <v>44877.352334937277</v>
      </c>
      <c r="K109" s="45">
        <f t="shared" si="0"/>
        <v>1296.7101109030691</v>
      </c>
      <c r="L109" s="45">
        <f t="shared" si="1"/>
        <v>224.3867616746864</v>
      </c>
      <c r="M109" s="46">
        <f t="shared" si="2"/>
        <v>1521.0968725777554</v>
      </c>
      <c r="N109" s="45">
        <f t="shared" si="3"/>
        <v>43580.642224034207</v>
      </c>
    </row>
    <row r="110" spans="8:16" ht="14.25" customHeight="1" thickBot="1" x14ac:dyDescent="0.3">
      <c r="I110" s="43">
        <v>6</v>
      </c>
      <c r="J110" s="45">
        <f t="shared" si="4"/>
        <v>43580.642224034207</v>
      </c>
      <c r="K110" s="45">
        <f t="shared" si="0"/>
        <v>1303.1936614575843</v>
      </c>
      <c r="L110" s="45">
        <f t="shared" si="1"/>
        <v>217.90321112017105</v>
      </c>
      <c r="M110" s="46">
        <f t="shared" si="2"/>
        <v>1521.0968725777554</v>
      </c>
      <c r="N110" s="45">
        <f t="shared" si="3"/>
        <v>42277.448562576625</v>
      </c>
    </row>
    <row r="111" spans="8:16" ht="14.25" customHeight="1" thickBot="1" x14ac:dyDescent="0.3">
      <c r="I111" s="43">
        <v>7</v>
      </c>
      <c r="J111" s="45">
        <f t="shared" si="4"/>
        <v>42277.448562576625</v>
      </c>
      <c r="K111" s="45">
        <f t="shared" si="0"/>
        <v>1309.7096297648723</v>
      </c>
      <c r="L111" s="45">
        <f t="shared" si="1"/>
        <v>211.38724281288313</v>
      </c>
      <c r="M111" s="46">
        <f t="shared" si="2"/>
        <v>1521.0968725777554</v>
      </c>
      <c r="N111" s="45">
        <f t="shared" si="3"/>
        <v>40967.73893281175</v>
      </c>
    </row>
    <row r="112" spans="8:16" ht="14.25" customHeight="1" thickBot="1" x14ac:dyDescent="0.3">
      <c r="I112" s="43">
        <v>8</v>
      </c>
      <c r="J112" s="45">
        <f t="shared" si="4"/>
        <v>40967.73893281175</v>
      </c>
      <c r="K112" s="45">
        <f t="shared" si="0"/>
        <v>1316.2581779136967</v>
      </c>
      <c r="L112" s="45">
        <f t="shared" si="1"/>
        <v>204.83869466405875</v>
      </c>
      <c r="M112" s="46">
        <f t="shared" si="2"/>
        <v>1521.0968725777554</v>
      </c>
      <c r="N112" s="45">
        <f t="shared" si="3"/>
        <v>39651.480754898053</v>
      </c>
    </row>
    <row r="113" spans="9:14" ht="14.25" customHeight="1" thickBot="1" x14ac:dyDescent="0.3">
      <c r="I113" s="43">
        <v>9</v>
      </c>
      <c r="J113" s="45">
        <f t="shared" si="4"/>
        <v>39651.480754898053</v>
      </c>
      <c r="K113" s="45">
        <f t="shared" si="0"/>
        <v>1322.8394688032652</v>
      </c>
      <c r="L113" s="45">
        <f t="shared" si="1"/>
        <v>198.25740377449029</v>
      </c>
      <c r="M113" s="46">
        <f t="shared" si="2"/>
        <v>1521.0968725777554</v>
      </c>
      <c r="N113" s="45">
        <f t="shared" si="3"/>
        <v>38328.641286094789</v>
      </c>
    </row>
    <row r="114" spans="9:14" ht="14.25" customHeight="1" thickBot="1" x14ac:dyDescent="0.3">
      <c r="I114" s="43">
        <v>10</v>
      </c>
      <c r="J114" s="45">
        <f t="shared" si="4"/>
        <v>38328.641286094789</v>
      </c>
      <c r="K114" s="45">
        <f t="shared" si="0"/>
        <v>1329.4536661472814</v>
      </c>
      <c r="L114" s="45">
        <f t="shared" si="1"/>
        <v>191.64320643047395</v>
      </c>
      <c r="M114" s="46">
        <f t="shared" si="2"/>
        <v>1521.0968725777554</v>
      </c>
      <c r="N114" s="45">
        <f t="shared" si="3"/>
        <v>36999.187619947508</v>
      </c>
    </row>
    <row r="115" spans="9:14" ht="14.25" customHeight="1" thickBot="1" x14ac:dyDescent="0.3">
      <c r="I115" s="43">
        <v>11</v>
      </c>
      <c r="J115" s="45">
        <f t="shared" si="4"/>
        <v>36999.187619947508</v>
      </c>
      <c r="K115" s="45">
        <f t="shared" si="0"/>
        <v>1336.100934478018</v>
      </c>
      <c r="L115" s="45">
        <f t="shared" si="1"/>
        <v>184.99593809973754</v>
      </c>
      <c r="M115" s="46">
        <f t="shared" si="2"/>
        <v>1521.0968725777554</v>
      </c>
      <c r="N115" s="45">
        <f t="shared" si="3"/>
        <v>35663.08668546949</v>
      </c>
    </row>
    <row r="116" spans="9:14" ht="14.25" customHeight="1" thickBot="1" x14ac:dyDescent="0.3">
      <c r="I116" s="43">
        <v>12</v>
      </c>
      <c r="J116" s="45">
        <f t="shared" si="4"/>
        <v>35663.08668546949</v>
      </c>
      <c r="K116" s="45">
        <f t="shared" si="0"/>
        <v>1342.781439150408</v>
      </c>
      <c r="L116" s="45">
        <f t="shared" si="1"/>
        <v>178.31543342734744</v>
      </c>
      <c r="M116" s="46">
        <f t="shared" si="2"/>
        <v>1521.0968725777554</v>
      </c>
      <c r="N116" s="45">
        <f t="shared" si="3"/>
        <v>34320.305246319083</v>
      </c>
    </row>
    <row r="117" spans="9:14" ht="14.25" customHeight="1" thickBot="1" x14ac:dyDescent="0.3">
      <c r="I117" s="43">
        <v>13</v>
      </c>
      <c r="J117" s="45">
        <f t="shared" si="4"/>
        <v>34320.305246319083</v>
      </c>
      <c r="K117" s="45">
        <f t="shared" si="0"/>
        <v>1349.49534634616</v>
      </c>
      <c r="L117" s="45">
        <f t="shared" si="1"/>
        <v>171.60152623159541</v>
      </c>
      <c r="M117" s="46">
        <f t="shared" si="2"/>
        <v>1521.0968725777554</v>
      </c>
      <c r="N117" s="45">
        <f t="shared" si="3"/>
        <v>32970.809899972926</v>
      </c>
    </row>
    <row r="118" spans="9:14" ht="14.25" customHeight="1" thickBot="1" x14ac:dyDescent="0.3">
      <c r="I118" s="43">
        <v>14</v>
      </c>
      <c r="J118" s="45">
        <f t="shared" si="4"/>
        <v>32970.809899972926</v>
      </c>
      <c r="K118" s="45">
        <f t="shared" si="0"/>
        <v>1356.2428230778908</v>
      </c>
      <c r="L118" s="45">
        <f t="shared" si="1"/>
        <v>164.85404949986463</v>
      </c>
      <c r="M118" s="46">
        <f t="shared" si="2"/>
        <v>1521.0968725777554</v>
      </c>
      <c r="N118" s="45">
        <f t="shared" si="3"/>
        <v>31614.567076895037</v>
      </c>
    </row>
    <row r="119" spans="9:14" ht="14.25" customHeight="1" thickBot="1" x14ac:dyDescent="0.3">
      <c r="I119" s="43">
        <v>15</v>
      </c>
      <c r="J119" s="45">
        <f t="shared" si="4"/>
        <v>31614.567076895037</v>
      </c>
      <c r="K119" s="45">
        <f t="shared" si="0"/>
        <v>1363.0240371932803</v>
      </c>
      <c r="L119" s="45">
        <f t="shared" si="1"/>
        <v>158.07283538447518</v>
      </c>
      <c r="M119" s="46">
        <f t="shared" si="2"/>
        <v>1521.0968725777554</v>
      </c>
      <c r="N119" s="45">
        <f t="shared" si="3"/>
        <v>30251.543039701755</v>
      </c>
    </row>
    <row r="120" spans="9:14" ht="14.25" customHeight="1" thickBot="1" x14ac:dyDescent="0.3">
      <c r="I120" s="43">
        <v>16</v>
      </c>
      <c r="J120" s="45">
        <f t="shared" si="4"/>
        <v>30251.543039701755</v>
      </c>
      <c r="K120" s="45">
        <f t="shared" si="0"/>
        <v>1369.8391573792467</v>
      </c>
      <c r="L120" s="45">
        <f t="shared" si="1"/>
        <v>151.25771519850878</v>
      </c>
      <c r="M120" s="46">
        <f t="shared" si="2"/>
        <v>1521.0968725777554</v>
      </c>
      <c r="N120" s="45">
        <f t="shared" si="3"/>
        <v>28881.703882322508</v>
      </c>
    </row>
    <row r="121" spans="9:14" ht="14.25" customHeight="1" thickBot="1" x14ac:dyDescent="0.3">
      <c r="I121" s="43">
        <v>17</v>
      </c>
      <c r="J121" s="45">
        <f t="shared" si="4"/>
        <v>28881.703882322508</v>
      </c>
      <c r="K121" s="45">
        <f t="shared" si="0"/>
        <v>1376.6883531661429</v>
      </c>
      <c r="L121" s="45">
        <f t="shared" si="1"/>
        <v>144.40851941161256</v>
      </c>
      <c r="M121" s="46">
        <f t="shared" si="2"/>
        <v>1521.0968725777554</v>
      </c>
      <c r="N121" s="45">
        <f t="shared" si="3"/>
        <v>27505.015529156364</v>
      </c>
    </row>
    <row r="122" spans="9:14" ht="14.25" customHeight="1" thickBot="1" x14ac:dyDescent="0.3">
      <c r="I122" s="43">
        <v>18</v>
      </c>
      <c r="J122" s="45">
        <f t="shared" si="4"/>
        <v>27505.015529156364</v>
      </c>
      <c r="K122" s="45">
        <f t="shared" si="0"/>
        <v>1383.5717949319737</v>
      </c>
      <c r="L122" s="45">
        <f t="shared" si="1"/>
        <v>137.52507764578183</v>
      </c>
      <c r="M122" s="46">
        <f t="shared" si="2"/>
        <v>1521.0968725777554</v>
      </c>
      <c r="N122" s="45">
        <f t="shared" si="3"/>
        <v>26121.443734224391</v>
      </c>
    </row>
    <row r="123" spans="9:14" ht="14.25" customHeight="1" thickBot="1" x14ac:dyDescent="0.3">
      <c r="I123" s="43">
        <v>19</v>
      </c>
      <c r="J123" s="45">
        <f t="shared" si="4"/>
        <v>26121.443734224391</v>
      </c>
      <c r="K123" s="45">
        <f t="shared" si="0"/>
        <v>1390.4896539066335</v>
      </c>
      <c r="L123" s="45">
        <f t="shared" si="1"/>
        <v>130.60721867112196</v>
      </c>
      <c r="M123" s="46">
        <f t="shared" si="2"/>
        <v>1521.0968725777554</v>
      </c>
      <c r="N123" s="45">
        <f t="shared" si="3"/>
        <v>24730.954080317759</v>
      </c>
    </row>
    <row r="124" spans="9:14" ht="14.25" customHeight="1" thickBot="1" x14ac:dyDescent="0.3">
      <c r="I124" s="43">
        <v>20</v>
      </c>
      <c r="J124" s="45">
        <f t="shared" si="4"/>
        <v>24730.954080317759</v>
      </c>
      <c r="K124" s="45">
        <f t="shared" si="0"/>
        <v>1397.4421021761666</v>
      </c>
      <c r="L124" s="45">
        <f t="shared" si="1"/>
        <v>123.65477040158879</v>
      </c>
      <c r="M124" s="46">
        <f t="shared" si="2"/>
        <v>1521.0968725777554</v>
      </c>
      <c r="N124" s="45">
        <f t="shared" si="3"/>
        <v>23333.511978141592</v>
      </c>
    </row>
    <row r="125" spans="9:14" ht="14.25" customHeight="1" thickBot="1" x14ac:dyDescent="0.3">
      <c r="I125" s="43">
        <v>21</v>
      </c>
      <c r="J125" s="45">
        <f t="shared" si="4"/>
        <v>23333.511978141592</v>
      </c>
      <c r="K125" s="45">
        <f t="shared" si="0"/>
        <v>1404.4293126870475</v>
      </c>
      <c r="L125" s="45">
        <f t="shared" si="1"/>
        <v>116.66755989070796</v>
      </c>
      <c r="M125" s="46">
        <f t="shared" si="2"/>
        <v>1521.0968725777554</v>
      </c>
      <c r="N125" s="45">
        <f t="shared" si="3"/>
        <v>21929.082665454545</v>
      </c>
    </row>
    <row r="126" spans="9:14" ht="14.25" customHeight="1" thickBot="1" x14ac:dyDescent="0.3">
      <c r="I126" s="43">
        <v>22</v>
      </c>
      <c r="J126" s="45">
        <f t="shared" si="4"/>
        <v>21929.082665454545</v>
      </c>
      <c r="K126" s="45">
        <f t="shared" si="0"/>
        <v>1411.4514592504827</v>
      </c>
      <c r="L126" s="45">
        <f t="shared" si="1"/>
        <v>109.64541332727273</v>
      </c>
      <c r="M126" s="46">
        <f t="shared" si="2"/>
        <v>1521.0968725777554</v>
      </c>
      <c r="N126" s="45">
        <f t="shared" si="3"/>
        <v>20517.631206204063</v>
      </c>
    </row>
    <row r="127" spans="9:14" ht="14.25" customHeight="1" thickBot="1" x14ac:dyDescent="0.3">
      <c r="I127" s="43">
        <v>23</v>
      </c>
      <c r="J127" s="45">
        <f t="shared" si="4"/>
        <v>20517.631206204063</v>
      </c>
      <c r="K127" s="45">
        <f t="shared" si="0"/>
        <v>1418.5087165467351</v>
      </c>
      <c r="L127" s="45">
        <f t="shared" si="1"/>
        <v>102.58815603102032</v>
      </c>
      <c r="M127" s="46">
        <f t="shared" si="2"/>
        <v>1521.0968725777554</v>
      </c>
      <c r="N127" s="45">
        <f t="shared" si="3"/>
        <v>19099.122489657329</v>
      </c>
    </row>
    <row r="128" spans="9:14" ht="14.25" customHeight="1" thickBot="1" x14ac:dyDescent="0.3">
      <c r="I128" s="43">
        <v>24</v>
      </c>
      <c r="J128" s="45">
        <f t="shared" si="4"/>
        <v>19099.122489657329</v>
      </c>
      <c r="K128" s="45">
        <f t="shared" si="0"/>
        <v>1425.6012601294688</v>
      </c>
      <c r="L128" s="45">
        <f t="shared" si="1"/>
        <v>95.49561244828665</v>
      </c>
      <c r="M128" s="46">
        <f t="shared" si="2"/>
        <v>1521.0968725777554</v>
      </c>
      <c r="N128" s="45">
        <f t="shared" si="3"/>
        <v>17673.521229527862</v>
      </c>
    </row>
    <row r="129" spans="9:14" ht="14.25" customHeight="1" thickBot="1" x14ac:dyDescent="0.3">
      <c r="I129" s="43">
        <v>25</v>
      </c>
      <c r="J129" s="45">
        <f t="shared" si="4"/>
        <v>17673.521229527862</v>
      </c>
      <c r="K129" s="45">
        <f t="shared" si="0"/>
        <v>1432.7292664301162</v>
      </c>
      <c r="L129" s="45">
        <f t="shared" si="1"/>
        <v>88.367606147639307</v>
      </c>
      <c r="M129" s="46">
        <f t="shared" si="2"/>
        <v>1521.0968725777554</v>
      </c>
      <c r="N129" s="45">
        <f t="shared" si="3"/>
        <v>16240.791963097745</v>
      </c>
    </row>
    <row r="130" spans="9:14" ht="14.25" customHeight="1" thickBot="1" x14ac:dyDescent="0.3">
      <c r="I130" s="43">
        <v>26</v>
      </c>
      <c r="J130" s="45">
        <f t="shared" si="4"/>
        <v>16240.791963097745</v>
      </c>
      <c r="K130" s="45">
        <f t="shared" si="0"/>
        <v>1439.8929127622666</v>
      </c>
      <c r="L130" s="45">
        <f t="shared" si="1"/>
        <v>81.20395981548873</v>
      </c>
      <c r="M130" s="46">
        <f t="shared" si="2"/>
        <v>1521.0968725777554</v>
      </c>
      <c r="N130" s="45">
        <f t="shared" si="3"/>
        <v>14800.899050335478</v>
      </c>
    </row>
    <row r="131" spans="9:14" ht="14.25" customHeight="1" thickBot="1" x14ac:dyDescent="0.3">
      <c r="I131" s="43">
        <v>27</v>
      </c>
      <c r="J131" s="45">
        <f t="shared" si="4"/>
        <v>14800.899050335478</v>
      </c>
      <c r="K131" s="45">
        <f t="shared" si="0"/>
        <v>1447.0923773260781</v>
      </c>
      <c r="L131" s="45">
        <f t="shared" si="1"/>
        <v>74.004495251677398</v>
      </c>
      <c r="M131" s="46">
        <f t="shared" si="2"/>
        <v>1521.0968725777554</v>
      </c>
      <c r="N131" s="45">
        <f t="shared" si="3"/>
        <v>13353.8066730094</v>
      </c>
    </row>
    <row r="132" spans="9:14" ht="14.25" customHeight="1" thickBot="1" x14ac:dyDescent="0.3">
      <c r="I132" s="43">
        <v>28</v>
      </c>
      <c r="J132" s="45">
        <f t="shared" si="4"/>
        <v>13353.8066730094</v>
      </c>
      <c r="K132" s="45">
        <f t="shared" si="0"/>
        <v>1454.3278392127086</v>
      </c>
      <c r="L132" s="45">
        <f t="shared" si="1"/>
        <v>66.769033365046994</v>
      </c>
      <c r="M132" s="46">
        <f t="shared" si="2"/>
        <v>1521.0968725777554</v>
      </c>
      <c r="N132" s="45">
        <f t="shared" si="3"/>
        <v>11899.478833796691</v>
      </c>
    </row>
    <row r="133" spans="9:14" ht="14.25" customHeight="1" thickBot="1" x14ac:dyDescent="0.3">
      <c r="I133" s="43">
        <v>29</v>
      </c>
      <c r="J133" s="45">
        <f t="shared" si="4"/>
        <v>11899.478833796691</v>
      </c>
      <c r="K133" s="45">
        <f t="shared" si="0"/>
        <v>1461.599478408772</v>
      </c>
      <c r="L133" s="45">
        <f t="shared" si="1"/>
        <v>59.497394168983455</v>
      </c>
      <c r="M133" s="46">
        <f t="shared" si="2"/>
        <v>1521.0968725777554</v>
      </c>
      <c r="N133" s="45">
        <f t="shared" si="3"/>
        <v>10437.879355387919</v>
      </c>
    </row>
    <row r="134" spans="9:14" ht="14.25" customHeight="1" thickBot="1" x14ac:dyDescent="0.3">
      <c r="I134" s="43">
        <v>30</v>
      </c>
      <c r="J134" s="45">
        <f t="shared" si="4"/>
        <v>10437.879355387919</v>
      </c>
      <c r="K134" s="45">
        <f t="shared" si="0"/>
        <v>1468.9074758008157</v>
      </c>
      <c r="L134" s="45">
        <f t="shared" si="1"/>
        <v>52.189396776939596</v>
      </c>
      <c r="M134" s="46">
        <f t="shared" si="2"/>
        <v>1521.0968725777554</v>
      </c>
      <c r="N134" s="45">
        <f t="shared" si="3"/>
        <v>8968.9718795871031</v>
      </c>
    </row>
    <row r="135" spans="9:14" ht="14.25" customHeight="1" thickBot="1" x14ac:dyDescent="0.3">
      <c r="I135" s="43">
        <v>31</v>
      </c>
      <c r="J135" s="45">
        <f t="shared" si="4"/>
        <v>8968.9718795871031</v>
      </c>
      <c r="K135" s="45">
        <f t="shared" si="0"/>
        <v>1476.2520131798199</v>
      </c>
      <c r="L135" s="45">
        <f t="shared" si="1"/>
        <v>44.844859397935515</v>
      </c>
      <c r="M135" s="46">
        <f t="shared" si="2"/>
        <v>1521.0968725777554</v>
      </c>
      <c r="N135" s="45">
        <f t="shared" si="3"/>
        <v>7492.719866407283</v>
      </c>
    </row>
    <row r="136" spans="9:14" ht="14.25" customHeight="1" thickBot="1" x14ac:dyDescent="0.3">
      <c r="I136" s="43">
        <v>32</v>
      </c>
      <c r="J136" s="45">
        <f t="shared" si="4"/>
        <v>7492.719866407283</v>
      </c>
      <c r="K136" s="45">
        <f t="shared" si="0"/>
        <v>1483.633273245719</v>
      </c>
      <c r="L136" s="45">
        <f t="shared" si="1"/>
        <v>37.463599332036416</v>
      </c>
      <c r="M136" s="46">
        <f t="shared" si="2"/>
        <v>1521.0968725777554</v>
      </c>
      <c r="N136" s="45">
        <f t="shared" si="3"/>
        <v>6009.0865931615645</v>
      </c>
    </row>
    <row r="137" spans="9:14" ht="14.25" customHeight="1" thickBot="1" x14ac:dyDescent="0.3">
      <c r="I137" s="43">
        <v>33</v>
      </c>
      <c r="J137" s="45">
        <f t="shared" si="4"/>
        <v>6009.0865931615645</v>
      </c>
      <c r="K137" s="45">
        <f t="shared" si="0"/>
        <v>1491.0514396119477</v>
      </c>
      <c r="L137" s="45">
        <f t="shared" si="1"/>
        <v>30.045432965807823</v>
      </c>
      <c r="M137" s="46">
        <f t="shared" si="2"/>
        <v>1521.0968725777554</v>
      </c>
      <c r="N137" s="45">
        <f t="shared" si="3"/>
        <v>4518.0351535496166</v>
      </c>
    </row>
    <row r="138" spans="9:14" ht="14.25" customHeight="1" thickBot="1" x14ac:dyDescent="0.3">
      <c r="I138" s="43">
        <v>34</v>
      </c>
      <c r="J138" s="45">
        <f t="shared" si="4"/>
        <v>4518.0351535496166</v>
      </c>
      <c r="K138" s="45">
        <f t="shared" si="0"/>
        <v>1498.5066968100073</v>
      </c>
      <c r="L138" s="45">
        <f t="shared" si="1"/>
        <v>22.590175767748082</v>
      </c>
      <c r="M138" s="46">
        <f t="shared" si="2"/>
        <v>1521.0968725777554</v>
      </c>
      <c r="N138" s="45">
        <f t="shared" si="3"/>
        <v>3019.5284567396093</v>
      </c>
    </row>
    <row r="139" spans="9:14" ht="14.25" customHeight="1" thickBot="1" x14ac:dyDescent="0.3">
      <c r="I139" s="43">
        <v>35</v>
      </c>
      <c r="J139" s="45">
        <f t="shared" si="4"/>
        <v>3019.5284567396093</v>
      </c>
      <c r="K139" s="45">
        <f t="shared" si="0"/>
        <v>1505.9992302940575</v>
      </c>
      <c r="L139" s="45">
        <f t="shared" si="1"/>
        <v>15.097642283698047</v>
      </c>
      <c r="M139" s="46">
        <f t="shared" si="2"/>
        <v>1521.0968725777554</v>
      </c>
      <c r="N139" s="45">
        <f t="shared" si="3"/>
        <v>1513.5292264455518</v>
      </c>
    </row>
    <row r="140" spans="9:14" ht="14.25" customHeight="1" thickBot="1" x14ac:dyDescent="0.3">
      <c r="I140" s="43">
        <v>36</v>
      </c>
      <c r="J140" s="45">
        <f t="shared" si="4"/>
        <v>1513.5292264455518</v>
      </c>
      <c r="K140" s="45">
        <f t="shared" si="0"/>
        <v>1513.5292264455277</v>
      </c>
      <c r="L140" s="45">
        <f t="shared" si="1"/>
        <v>7.5676461322277593</v>
      </c>
      <c r="M140" s="46">
        <f t="shared" si="2"/>
        <v>1521.0968725777554</v>
      </c>
      <c r="N140" s="47">
        <f t="shared" si="3"/>
        <v>2.4101609596982598E-11</v>
      </c>
    </row>
    <row r="141" spans="9:14" ht="14.25" customHeight="1" x14ac:dyDescent="0.25"/>
    <row r="142" spans="9:14" ht="14.25" customHeight="1" x14ac:dyDescent="0.25"/>
    <row r="143" spans="9:14" ht="14.25" customHeight="1" x14ac:dyDescent="0.25"/>
    <row r="144" spans="9:1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EE17-D50C-40D6-A3D3-4FCC100B9B75}">
  <sheetPr>
    <tabColor rgb="FF00B050"/>
  </sheetPr>
  <dimension ref="G1:T66"/>
  <sheetViews>
    <sheetView rightToLeft="1" topLeftCell="A34" workbookViewId="0">
      <selection activeCell="G59" sqref="G59"/>
    </sheetView>
  </sheetViews>
  <sheetFormatPr defaultRowHeight="13.8" x14ac:dyDescent="0.25"/>
  <cols>
    <col min="7" max="7" width="11.19921875" bestFit="1" customWidth="1"/>
    <col min="9" max="9" width="12.8984375" customWidth="1"/>
    <col min="10" max="10" width="21" customWidth="1"/>
    <col min="12" max="12" width="29.796875" bestFit="1" customWidth="1"/>
    <col min="13" max="13" width="15.09765625" customWidth="1"/>
  </cols>
  <sheetData>
    <row r="1" spans="7:20" x14ac:dyDescent="0.25">
      <c r="I1" s="18" t="s">
        <v>41</v>
      </c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7:20" ht="94.2" customHeight="1" x14ac:dyDescent="0.35">
      <c r="G2" s="31" t="s">
        <v>76</v>
      </c>
      <c r="I2" s="28" t="s">
        <v>57</v>
      </c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5" spans="7:20" x14ac:dyDescent="0.25">
      <c r="I5" s="4" t="s">
        <v>0</v>
      </c>
    </row>
    <row r="6" spans="7:20" x14ac:dyDescent="0.25">
      <c r="I6" t="s">
        <v>1</v>
      </c>
      <c r="J6" s="11">
        <v>80000</v>
      </c>
      <c r="K6" s="19" t="s">
        <v>27</v>
      </c>
    </row>
    <row r="7" spans="7:20" x14ac:dyDescent="0.25">
      <c r="I7" t="s">
        <v>42</v>
      </c>
      <c r="J7" s="25">
        <v>1</v>
      </c>
      <c r="K7" s="19" t="s">
        <v>4</v>
      </c>
    </row>
    <row r="8" spans="7:20" x14ac:dyDescent="0.25">
      <c r="I8" t="s">
        <v>21</v>
      </c>
      <c r="J8" s="2">
        <v>2.8000000000000001E-2</v>
      </c>
      <c r="K8" s="19" t="s">
        <v>43</v>
      </c>
    </row>
    <row r="9" spans="7:20" ht="14.4" x14ac:dyDescent="0.3">
      <c r="I9" t="s">
        <v>44</v>
      </c>
      <c r="J9" s="2">
        <v>3.6999999999999998E-2</v>
      </c>
      <c r="K9" s="20" t="s">
        <v>45</v>
      </c>
    </row>
    <row r="10" spans="7:20" x14ac:dyDescent="0.25">
      <c r="I10" t="s">
        <v>46</v>
      </c>
      <c r="K10" s="26">
        <f>(1+J8)/(1+J9)-1</f>
        <v>-8.6788813886209404E-3</v>
      </c>
      <c r="L10" t="s">
        <v>78</v>
      </c>
    </row>
    <row r="14" spans="7:20" x14ac:dyDescent="0.25">
      <c r="I14">
        <v>10</v>
      </c>
      <c r="J14" t="s">
        <v>79</v>
      </c>
      <c r="K14">
        <v>5</v>
      </c>
      <c r="L14" t="s">
        <v>79</v>
      </c>
    </row>
    <row r="15" spans="7:20" x14ac:dyDescent="0.25">
      <c r="I15">
        <v>10</v>
      </c>
      <c r="J15" t="s">
        <v>80</v>
      </c>
      <c r="K15">
        <v>5</v>
      </c>
      <c r="L15" t="s">
        <v>81</v>
      </c>
    </row>
    <row r="16" spans="7:20" x14ac:dyDescent="0.25">
      <c r="I16">
        <v>10</v>
      </c>
      <c r="J16" t="s">
        <v>81</v>
      </c>
    </row>
    <row r="28" spans="7:17" ht="103.2" customHeight="1" x14ac:dyDescent="0.35">
      <c r="G28" s="31" t="s">
        <v>77</v>
      </c>
      <c r="I28" s="29" t="s">
        <v>82</v>
      </c>
      <c r="J28" s="29"/>
      <c r="K28" s="29"/>
      <c r="L28" s="29"/>
      <c r="M28" s="29"/>
      <c r="N28" s="29"/>
      <c r="O28" s="29"/>
      <c r="P28" s="29"/>
      <c r="Q28" s="29"/>
    </row>
    <row r="32" spans="7:17" x14ac:dyDescent="0.25">
      <c r="I32" s="4" t="s">
        <v>0</v>
      </c>
      <c r="L32" s="4" t="s">
        <v>47</v>
      </c>
      <c r="M32" s="3"/>
    </row>
    <row r="33" spans="9:14" x14ac:dyDescent="0.25">
      <c r="I33" t="s">
        <v>1</v>
      </c>
      <c r="J33" s="25">
        <v>90000</v>
      </c>
      <c r="K33" s="19" t="s">
        <v>27</v>
      </c>
      <c r="L33" t="s">
        <v>48</v>
      </c>
      <c r="M33" s="21">
        <f>FV(J34,J35,,-J33)</f>
        <v>94500</v>
      </c>
      <c r="N33" t="s">
        <v>49</v>
      </c>
    </row>
    <row r="34" spans="9:14" x14ac:dyDescent="0.25">
      <c r="I34" t="s">
        <v>5</v>
      </c>
      <c r="J34" s="22">
        <v>0.05</v>
      </c>
      <c r="K34" s="19" t="s">
        <v>6</v>
      </c>
      <c r="L34" t="s">
        <v>50</v>
      </c>
      <c r="M34" s="27">
        <f>M33*(J37/J36)</f>
        <v>93688.454198473293</v>
      </c>
    </row>
    <row r="35" spans="9:14" x14ac:dyDescent="0.25">
      <c r="I35" t="s">
        <v>40</v>
      </c>
      <c r="J35">
        <v>1</v>
      </c>
      <c r="K35" s="19" t="s">
        <v>4</v>
      </c>
      <c r="M35" t="s">
        <v>51</v>
      </c>
    </row>
    <row r="36" spans="9:14" x14ac:dyDescent="0.25">
      <c r="I36" t="s">
        <v>52</v>
      </c>
      <c r="J36">
        <v>104.8</v>
      </c>
      <c r="K36" s="19" t="s">
        <v>53</v>
      </c>
      <c r="M36" s="3"/>
    </row>
    <row r="37" spans="9:14" x14ac:dyDescent="0.25">
      <c r="I37" t="s">
        <v>54</v>
      </c>
      <c r="J37">
        <v>103.9</v>
      </c>
      <c r="K37" s="19" t="s">
        <v>55</v>
      </c>
      <c r="M37" s="3"/>
    </row>
    <row r="52" spans="13:13" ht="15.6" x14ac:dyDescent="0.25">
      <c r="M52" s="23"/>
    </row>
    <row r="53" spans="13:13" ht="15.6" x14ac:dyDescent="0.25">
      <c r="M53" s="23"/>
    </row>
    <row r="54" spans="13:13" ht="15.6" x14ac:dyDescent="0.25">
      <c r="M54" s="23"/>
    </row>
    <row r="55" spans="13:13" ht="15.6" x14ac:dyDescent="0.25">
      <c r="M55" s="23"/>
    </row>
    <row r="56" spans="13:13" ht="15.6" x14ac:dyDescent="0.25">
      <c r="M56" s="23"/>
    </row>
    <row r="57" spans="13:13" ht="15.6" x14ac:dyDescent="0.3">
      <c r="M57" s="24"/>
    </row>
    <row r="58" spans="13:13" ht="15.6" x14ac:dyDescent="0.3">
      <c r="M58" s="24"/>
    </row>
    <row r="59" spans="13:13" ht="15.6" x14ac:dyDescent="0.3">
      <c r="M59" s="24"/>
    </row>
    <row r="60" spans="13:13" ht="15.6" x14ac:dyDescent="0.3">
      <c r="M60" s="24"/>
    </row>
    <row r="61" spans="13:13" ht="15.6" x14ac:dyDescent="0.3">
      <c r="M61" s="24"/>
    </row>
    <row r="62" spans="13:13" ht="15.6" x14ac:dyDescent="0.3">
      <c r="M62" s="24"/>
    </row>
    <row r="63" spans="13:13" ht="15.6" x14ac:dyDescent="0.3">
      <c r="M63" s="24"/>
    </row>
    <row r="64" spans="13:13" ht="15.6" x14ac:dyDescent="0.3">
      <c r="M64" s="24"/>
    </row>
    <row r="65" spans="13:13" ht="15.6" x14ac:dyDescent="0.3">
      <c r="M65" s="24"/>
    </row>
    <row r="66" spans="13:13" ht="15.6" x14ac:dyDescent="0.3">
      <c r="M66" s="24"/>
    </row>
  </sheetData>
  <mergeCells count="3">
    <mergeCell ref="I1:T1"/>
    <mergeCell ref="I2:T2"/>
    <mergeCell ref="I28:Q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מבוא להצמדה שאלות 1-3</vt:lpstr>
      <vt:lpstr>פתרון תרגיל בית שאלות 4-8</vt:lpstr>
      <vt:lpstr> שאלות חזרה מבחינות 9-10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</dc:creator>
  <cp:lastModifiedBy>אופיר מאגדי</cp:lastModifiedBy>
  <dcterms:created xsi:type="dcterms:W3CDTF">2019-02-17T14:51:45Z</dcterms:created>
  <dcterms:modified xsi:type="dcterms:W3CDTF">2019-12-11T19:22:25Z</dcterms:modified>
</cp:coreProperties>
</file>