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228"/>
  <workbookPr/>
  <mc:AlternateContent xmlns:mc="http://schemas.openxmlformats.org/markup-compatibility/2006">
    <mc:Choice Requires="x15">
      <x15ac:absPath xmlns:x15ac="http://schemas.microsoft.com/office/spreadsheetml/2010/11/ac" url="C:\Users\אופיר מאגדי\Desktop\מכללה למנהל GOOL\הקלטות\שחזור מבחן 2019א מספר 141219 אקסל\"/>
    </mc:Choice>
  </mc:AlternateContent>
  <xr:revisionPtr revIDLastSave="0" documentId="13_ncr:1_{92CDB5E8-A2B4-419B-A77B-66F88BAF2FF1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פתרון שאלות אמריקאיות 1-15 " sheetId="2" r:id="rId1"/>
    <sheet name="פתרון שאלה פתוחה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48" i="3" l="1"/>
  <c r="J47" i="3"/>
  <c r="D47" i="3" s="1"/>
  <c r="C44" i="3" l="1"/>
  <c r="D48" i="3" s="1"/>
  <c r="D49" i="3" s="1"/>
  <c r="O29" i="3" l="1"/>
  <c r="O27" i="3"/>
  <c r="N39" i="3" s="1"/>
  <c r="U11" i="3"/>
  <c r="U10" i="3"/>
  <c r="O8" i="3"/>
  <c r="O6" i="3"/>
  <c r="N18" i="3" l="1"/>
  <c r="E47" i="3" s="1"/>
  <c r="E49" i="3" s="1"/>
  <c r="E51" i="3" s="1"/>
  <c r="N14" i="3"/>
  <c r="N35" i="3"/>
  <c r="N38" i="3" s="1"/>
  <c r="N43" i="3" s="1"/>
  <c r="N40" i="3"/>
  <c r="J528" i="2"/>
  <c r="H527" i="2"/>
  <c r="H528" i="2" s="1"/>
  <c r="H530" i="2" s="1"/>
  <c r="I494" i="2"/>
  <c r="I495" i="2" s="1"/>
  <c r="I496" i="2" s="1"/>
  <c r="I492" i="2"/>
  <c r="K461" i="2"/>
  <c r="K462" i="2" s="1"/>
  <c r="H457" i="2"/>
  <c r="M461" i="2" s="1"/>
  <c r="M462" i="2" s="1"/>
  <c r="K415" i="2"/>
  <c r="K416" i="2" s="1"/>
  <c r="I417" i="2" s="1"/>
  <c r="I418" i="2" s="1"/>
  <c r="J409" i="2"/>
  <c r="K408" i="2"/>
  <c r="I416" i="2"/>
  <c r="I415" i="2"/>
  <c r="J411" i="2"/>
  <c r="K410" i="2"/>
  <c r="P43" i="3" l="1"/>
  <c r="N41" i="3"/>
  <c r="H461" i="2"/>
  <c r="H462" i="2" s="1"/>
  <c r="Q147" i="3" l="1"/>
  <c r="Q76" i="3"/>
  <c r="Q84" i="3"/>
  <c r="Q92" i="3"/>
  <c r="Q100" i="3"/>
  <c r="Q108" i="3"/>
  <c r="Q116" i="3"/>
  <c r="Q124" i="3"/>
  <c r="Q132" i="3"/>
  <c r="Q140" i="3"/>
  <c r="Q148" i="3"/>
  <c r="Q45" i="3"/>
  <c r="Q53" i="3"/>
  <c r="Q61" i="3"/>
  <c r="Q69" i="3"/>
  <c r="Q150" i="3"/>
  <c r="Q78" i="3"/>
  <c r="Q86" i="3"/>
  <c r="Q94" i="3"/>
  <c r="Q102" i="3"/>
  <c r="Q118" i="3"/>
  <c r="Q126" i="3"/>
  <c r="Q142" i="3"/>
  <c r="Q55" i="3"/>
  <c r="Q71" i="3"/>
  <c r="Q79" i="3"/>
  <c r="Q87" i="3"/>
  <c r="Q103" i="3"/>
  <c r="Q111" i="3"/>
  <c r="Q127" i="3"/>
  <c r="Q143" i="3"/>
  <c r="Q56" i="3"/>
  <c r="Q72" i="3"/>
  <c r="Q74" i="3"/>
  <c r="Q106" i="3"/>
  <c r="Q130" i="3"/>
  <c r="Q67" i="3"/>
  <c r="Q91" i="3"/>
  <c r="Q115" i="3"/>
  <c r="Q139" i="3"/>
  <c r="Q52" i="3"/>
  <c r="Q77" i="3"/>
  <c r="Q85" i="3"/>
  <c r="Q93" i="3"/>
  <c r="Q101" i="3"/>
  <c r="Q109" i="3"/>
  <c r="Q117" i="3"/>
  <c r="Q125" i="3"/>
  <c r="Q133" i="3"/>
  <c r="Q141" i="3"/>
  <c r="Q149" i="3"/>
  <c r="Q46" i="3"/>
  <c r="Q54" i="3"/>
  <c r="Q62" i="3"/>
  <c r="Q70" i="3"/>
  <c r="Q110" i="3"/>
  <c r="Q134" i="3"/>
  <c r="Q47" i="3"/>
  <c r="Q63" i="3"/>
  <c r="Q95" i="3"/>
  <c r="Q119" i="3"/>
  <c r="Q135" i="3"/>
  <c r="Q48" i="3"/>
  <c r="Q64" i="3"/>
  <c r="Q82" i="3"/>
  <c r="Q114" i="3"/>
  <c r="Q146" i="3"/>
  <c r="Q59" i="3"/>
  <c r="Q99" i="3"/>
  <c r="Q131" i="3"/>
  <c r="Q68" i="3"/>
  <c r="Q60" i="3"/>
  <c r="Q80" i="3"/>
  <c r="Q88" i="3"/>
  <c r="Q96" i="3"/>
  <c r="Q104" i="3"/>
  <c r="Q112" i="3"/>
  <c r="Q120" i="3"/>
  <c r="Q128" i="3"/>
  <c r="Q136" i="3"/>
  <c r="Q144" i="3"/>
  <c r="Q49" i="3"/>
  <c r="Q57" i="3"/>
  <c r="Q65" i="3"/>
  <c r="Q43" i="3"/>
  <c r="O43" i="3" s="1"/>
  <c r="R43" i="3" s="1"/>
  <c r="N44" i="3" s="1"/>
  <c r="P44" i="3" s="1"/>
  <c r="Q73" i="3"/>
  <c r="Q81" i="3"/>
  <c r="Q89" i="3"/>
  <c r="Q97" i="3"/>
  <c r="Q105" i="3"/>
  <c r="Q113" i="3"/>
  <c r="Q121" i="3"/>
  <c r="Q129" i="3"/>
  <c r="Q137" i="3"/>
  <c r="Q145" i="3"/>
  <c r="Q50" i="3"/>
  <c r="Q58" i="3"/>
  <c r="Q66" i="3"/>
  <c r="Q90" i="3"/>
  <c r="Q98" i="3"/>
  <c r="Q122" i="3"/>
  <c r="Q138" i="3"/>
  <c r="Q51" i="3"/>
  <c r="Q75" i="3"/>
  <c r="Q83" i="3"/>
  <c r="Q107" i="3"/>
  <c r="Q123" i="3"/>
  <c r="Q44" i="3"/>
  <c r="O44" i="3" l="1"/>
  <c r="R44" i="3" s="1"/>
  <c r="N45" i="3" s="1"/>
  <c r="P45" i="3" s="1"/>
  <c r="O45" i="3" s="1"/>
  <c r="R45" i="3" s="1"/>
  <c r="N46" i="3" s="1"/>
  <c r="P46" i="3" s="1"/>
  <c r="O46" i="3" s="1"/>
  <c r="R46" i="3" s="1"/>
  <c r="N47" i="3" s="1"/>
  <c r="P47" i="3" s="1"/>
  <c r="O47" i="3" s="1"/>
  <c r="R47" i="3" s="1"/>
  <c r="N48" i="3" s="1"/>
  <c r="P48" i="3" s="1"/>
  <c r="O48" i="3" s="1"/>
  <c r="R48" i="3" s="1"/>
  <c r="N49" i="3" s="1"/>
  <c r="P49" i="3" s="1"/>
  <c r="O49" i="3" s="1"/>
  <c r="R49" i="3" s="1"/>
  <c r="N50" i="3" s="1"/>
  <c r="P50" i="3" s="1"/>
  <c r="O50" i="3" s="1"/>
  <c r="R50" i="3" s="1"/>
  <c r="N51" i="3" s="1"/>
  <c r="P51" i="3" s="1"/>
  <c r="O51" i="3" s="1"/>
  <c r="R51" i="3" s="1"/>
  <c r="N52" i="3" s="1"/>
  <c r="P52" i="3" s="1"/>
  <c r="O52" i="3" s="1"/>
  <c r="R52" i="3" s="1"/>
  <c r="N53" i="3" s="1"/>
  <c r="P53" i="3" s="1"/>
  <c r="O53" i="3" s="1"/>
  <c r="R53" i="3" s="1"/>
  <c r="N54" i="3" s="1"/>
  <c r="P54" i="3" s="1"/>
  <c r="O54" i="3" s="1"/>
  <c r="R54" i="3" s="1"/>
  <c r="N55" i="3" s="1"/>
  <c r="P55" i="3" s="1"/>
  <c r="O55" i="3" s="1"/>
  <c r="R55" i="3" s="1"/>
  <c r="N56" i="3" s="1"/>
  <c r="P56" i="3" s="1"/>
  <c r="O56" i="3" s="1"/>
  <c r="R56" i="3" s="1"/>
  <c r="N57" i="3" s="1"/>
  <c r="P57" i="3" s="1"/>
  <c r="O57" i="3" s="1"/>
  <c r="R57" i="3" s="1"/>
  <c r="N58" i="3" s="1"/>
  <c r="P58" i="3" s="1"/>
  <c r="O58" i="3" s="1"/>
  <c r="R58" i="3" s="1"/>
  <c r="N59" i="3" s="1"/>
  <c r="P59" i="3" s="1"/>
  <c r="O59" i="3" s="1"/>
  <c r="R59" i="3" s="1"/>
  <c r="N60" i="3" s="1"/>
  <c r="P60" i="3" s="1"/>
  <c r="O60" i="3" s="1"/>
  <c r="R60" i="3" s="1"/>
  <c r="N61" i="3" s="1"/>
  <c r="P61" i="3" s="1"/>
  <c r="O61" i="3" s="1"/>
  <c r="R61" i="3" s="1"/>
  <c r="N62" i="3" s="1"/>
  <c r="P62" i="3" s="1"/>
  <c r="O62" i="3" s="1"/>
  <c r="R62" i="3" s="1"/>
  <c r="N63" i="3" s="1"/>
  <c r="P63" i="3" s="1"/>
  <c r="O63" i="3" s="1"/>
  <c r="R63" i="3" s="1"/>
  <c r="N64" i="3" s="1"/>
  <c r="P64" i="3" s="1"/>
  <c r="O64" i="3" s="1"/>
  <c r="R64" i="3" s="1"/>
  <c r="N65" i="3" s="1"/>
  <c r="P65" i="3" s="1"/>
  <c r="O65" i="3" s="1"/>
  <c r="R65" i="3" s="1"/>
  <c r="N66" i="3" s="1"/>
  <c r="P66" i="3" s="1"/>
  <c r="O66" i="3" s="1"/>
  <c r="R66" i="3" s="1"/>
  <c r="N67" i="3" s="1"/>
  <c r="P67" i="3" s="1"/>
  <c r="O67" i="3" s="1"/>
  <c r="R67" i="3" s="1"/>
  <c r="N68" i="3" s="1"/>
  <c r="P68" i="3" s="1"/>
  <c r="O68" i="3" s="1"/>
  <c r="R68" i="3" s="1"/>
  <c r="N69" i="3" s="1"/>
  <c r="P69" i="3" s="1"/>
  <c r="O69" i="3" s="1"/>
  <c r="R69" i="3" s="1"/>
  <c r="N70" i="3" s="1"/>
  <c r="P70" i="3" s="1"/>
  <c r="O70" i="3" s="1"/>
  <c r="R70" i="3" s="1"/>
  <c r="N71" i="3" s="1"/>
  <c r="P71" i="3" s="1"/>
  <c r="O71" i="3" s="1"/>
  <c r="R71" i="3" s="1"/>
  <c r="N72" i="3" s="1"/>
  <c r="P72" i="3" s="1"/>
  <c r="O72" i="3" s="1"/>
  <c r="R72" i="3" s="1"/>
  <c r="N73" i="3" s="1"/>
  <c r="P73" i="3" s="1"/>
  <c r="O73" i="3" s="1"/>
  <c r="R73" i="3" s="1"/>
  <c r="N74" i="3" s="1"/>
  <c r="I323" i="2"/>
  <c r="H319" i="2"/>
  <c r="I328" i="2" s="1"/>
  <c r="K279" i="2"/>
  <c r="N279" i="2"/>
  <c r="J277" i="2" s="1"/>
  <c r="J279" i="2" s="1"/>
  <c r="I254" i="2"/>
  <c r="I256" i="2" s="1"/>
  <c r="I257" i="2" s="1"/>
  <c r="I197" i="2"/>
  <c r="J197" i="2"/>
  <c r="I201" i="2"/>
  <c r="I202" i="2"/>
  <c r="I203" i="2"/>
  <c r="I204" i="2"/>
  <c r="I205" i="2"/>
  <c r="I206" i="2"/>
  <c r="I207" i="2"/>
  <c r="I208" i="2"/>
  <c r="I209" i="2"/>
  <c r="I210" i="2"/>
  <c r="I211" i="2"/>
  <c r="I212" i="2"/>
  <c r="I213" i="2"/>
  <c r="I214" i="2"/>
  <c r="I215" i="2"/>
  <c r="I216" i="2"/>
  <c r="I217" i="2"/>
  <c r="I218" i="2"/>
  <c r="I219" i="2"/>
  <c r="I220" i="2"/>
  <c r="I221" i="2"/>
  <c r="I222" i="2"/>
  <c r="I223" i="2"/>
  <c r="I224" i="2"/>
  <c r="J201" i="2"/>
  <c r="J202" i="2"/>
  <c r="J203" i="2"/>
  <c r="J204" i="2"/>
  <c r="J205" i="2"/>
  <c r="J206" i="2"/>
  <c r="J207" i="2"/>
  <c r="J208" i="2"/>
  <c r="J209" i="2"/>
  <c r="J210" i="2"/>
  <c r="J211" i="2"/>
  <c r="J212" i="2"/>
  <c r="J213" i="2"/>
  <c r="J214" i="2"/>
  <c r="J215" i="2"/>
  <c r="J216" i="2"/>
  <c r="J217" i="2"/>
  <c r="J218" i="2"/>
  <c r="J219" i="2"/>
  <c r="J220" i="2"/>
  <c r="J221" i="2"/>
  <c r="J222" i="2"/>
  <c r="J223" i="2"/>
  <c r="J224" i="2"/>
  <c r="I200" i="2"/>
  <c r="J200" i="2"/>
  <c r="P74" i="3" l="1"/>
  <c r="O74" i="3" s="1"/>
  <c r="R74" i="3" s="1"/>
  <c r="N75" i="3" s="1"/>
  <c r="K281" i="2"/>
  <c r="O168" i="2"/>
  <c r="O169" i="2" s="1"/>
  <c r="O170" i="2" s="1"/>
  <c r="I168" i="2"/>
  <c r="AA130" i="2"/>
  <c r="AA127" i="2"/>
  <c r="AA126" i="2"/>
  <c r="T127" i="2"/>
  <c r="T126" i="2"/>
  <c r="T128" i="2" s="1"/>
  <c r="T130" i="2"/>
  <c r="P75" i="3" l="1"/>
  <c r="O75" i="3" s="1"/>
  <c r="R75" i="3" s="1"/>
  <c r="N76" i="3" s="1"/>
  <c r="U143" i="2"/>
  <c r="U227" i="2"/>
  <c r="U183" i="2"/>
  <c r="AA128" i="2"/>
  <c r="AD131" i="2" s="1"/>
  <c r="U211" i="2"/>
  <c r="U167" i="2"/>
  <c r="U247" i="2"/>
  <c r="U206" i="2"/>
  <c r="U163" i="2"/>
  <c r="U246" i="2"/>
  <c r="U159" i="2"/>
  <c r="U235" i="2"/>
  <c r="U191" i="2"/>
  <c r="U135" i="2"/>
  <c r="U203" i="2"/>
  <c r="U231" i="2"/>
  <c r="U190" i="2"/>
  <c r="U223" i="2"/>
  <c r="U182" i="2"/>
  <c r="U214" i="2"/>
  <c r="U171" i="2"/>
  <c r="AC130" i="2"/>
  <c r="AD179" i="2"/>
  <c r="AD187" i="2"/>
  <c r="AD145" i="2"/>
  <c r="U243" i="2"/>
  <c r="U199" i="2"/>
  <c r="U158" i="2"/>
  <c r="U198" i="2"/>
  <c r="U222" i="2"/>
  <c r="U179" i="2"/>
  <c r="U239" i="2"/>
  <c r="U219" i="2"/>
  <c r="U175" i="2"/>
  <c r="U151" i="2"/>
  <c r="V130" i="2"/>
  <c r="U238" i="2"/>
  <c r="U215" i="2"/>
  <c r="U195" i="2"/>
  <c r="U174" i="2"/>
  <c r="U132" i="2"/>
  <c r="U140" i="2"/>
  <c r="U148" i="2"/>
  <c r="U156" i="2"/>
  <c r="U164" i="2"/>
  <c r="U172" i="2"/>
  <c r="U180" i="2"/>
  <c r="U188" i="2"/>
  <c r="U196" i="2"/>
  <c r="U204" i="2"/>
  <c r="U212" i="2"/>
  <c r="U220" i="2"/>
  <c r="U228" i="2"/>
  <c r="U236" i="2"/>
  <c r="U244" i="2"/>
  <c r="U133" i="2"/>
  <c r="U141" i="2"/>
  <c r="U149" i="2"/>
  <c r="U157" i="2"/>
  <c r="U165" i="2"/>
  <c r="U173" i="2"/>
  <c r="U181" i="2"/>
  <c r="U189" i="2"/>
  <c r="U197" i="2"/>
  <c r="U205" i="2"/>
  <c r="U213" i="2"/>
  <c r="U221" i="2"/>
  <c r="U229" i="2"/>
  <c r="U237" i="2"/>
  <c r="U245" i="2"/>
  <c r="U134" i="2"/>
  <c r="U142" i="2"/>
  <c r="U150" i="2"/>
  <c r="U136" i="2"/>
  <c r="U144" i="2"/>
  <c r="U152" i="2"/>
  <c r="U160" i="2"/>
  <c r="U168" i="2"/>
  <c r="U176" i="2"/>
  <c r="U184" i="2"/>
  <c r="U192" i="2"/>
  <c r="U200" i="2"/>
  <c r="U208" i="2"/>
  <c r="U216" i="2"/>
  <c r="U224" i="2"/>
  <c r="U232" i="2"/>
  <c r="U240" i="2"/>
  <c r="U248" i="2"/>
  <c r="U137" i="2"/>
  <c r="U145" i="2"/>
  <c r="U153" i="2"/>
  <c r="U161" i="2"/>
  <c r="U169" i="2"/>
  <c r="U177" i="2"/>
  <c r="U185" i="2"/>
  <c r="U193" i="2"/>
  <c r="U201" i="2"/>
  <c r="U209" i="2"/>
  <c r="U217" i="2"/>
  <c r="U225" i="2"/>
  <c r="U233" i="2"/>
  <c r="U241" i="2"/>
  <c r="U249" i="2"/>
  <c r="U138" i="2"/>
  <c r="U146" i="2"/>
  <c r="U154" i="2"/>
  <c r="U162" i="2"/>
  <c r="U170" i="2"/>
  <c r="U178" i="2"/>
  <c r="U186" i="2"/>
  <c r="U194" i="2"/>
  <c r="U202" i="2"/>
  <c r="U210" i="2"/>
  <c r="U218" i="2"/>
  <c r="U226" i="2"/>
  <c r="U234" i="2"/>
  <c r="U242" i="2"/>
  <c r="U130" i="2"/>
  <c r="X130" i="2" s="1"/>
  <c r="T131" i="2" s="1"/>
  <c r="U131" i="2"/>
  <c r="U139" i="2"/>
  <c r="U147" i="2"/>
  <c r="U155" i="2"/>
  <c r="U230" i="2"/>
  <c r="U207" i="2"/>
  <c r="U187" i="2"/>
  <c r="U166" i="2"/>
  <c r="P76" i="3" l="1"/>
  <c r="O76" i="3" s="1"/>
  <c r="R76" i="3" s="1"/>
  <c r="N77" i="3" s="1"/>
  <c r="AD137" i="2"/>
  <c r="AD136" i="2"/>
  <c r="AD183" i="2"/>
  <c r="AD181" i="2"/>
  <c r="AD189" i="2"/>
  <c r="AD174" i="2"/>
  <c r="AD154" i="2"/>
  <c r="AD188" i="2"/>
  <c r="AD146" i="2"/>
  <c r="AD180" i="2"/>
  <c r="AD130" i="2"/>
  <c r="AB130" i="2" s="1"/>
  <c r="AE130" i="2" s="1"/>
  <c r="AA131" i="2" s="1"/>
  <c r="AC131" i="2" s="1"/>
  <c r="AB131" i="2" s="1"/>
  <c r="AE131" i="2" s="1"/>
  <c r="AA132" i="2" s="1"/>
  <c r="AC132" i="2" s="1"/>
  <c r="AD185" i="2"/>
  <c r="AD167" i="2"/>
  <c r="AD164" i="2"/>
  <c r="AD177" i="2"/>
  <c r="AD159" i="2"/>
  <c r="AD156" i="2"/>
  <c r="AD169" i="2"/>
  <c r="AD151" i="2"/>
  <c r="AD148" i="2"/>
  <c r="AD158" i="2"/>
  <c r="AD182" i="2"/>
  <c r="AD170" i="2"/>
  <c r="AD161" i="2"/>
  <c r="AD152" i="2"/>
  <c r="AD143" i="2"/>
  <c r="AD141" i="2"/>
  <c r="AD140" i="2"/>
  <c r="AD139" i="2"/>
  <c r="AD134" i="2"/>
  <c r="AD138" i="2"/>
  <c r="AD184" i="2"/>
  <c r="AD175" i="2"/>
  <c r="AD173" i="2"/>
  <c r="AD172" i="2"/>
  <c r="AD171" i="2"/>
  <c r="AD142" i="2"/>
  <c r="AD176" i="2"/>
  <c r="AD165" i="2"/>
  <c r="AD163" i="2"/>
  <c r="AD186" i="2"/>
  <c r="AD168" i="2"/>
  <c r="AD157" i="2"/>
  <c r="AD155" i="2"/>
  <c r="AD178" i="2"/>
  <c r="AD160" i="2"/>
  <c r="AD149" i="2"/>
  <c r="AD147" i="2"/>
  <c r="AD150" i="2"/>
  <c r="AD166" i="2"/>
  <c r="AD162" i="2"/>
  <c r="AD153" i="2"/>
  <c r="AD144" i="2"/>
  <c r="AD135" i="2"/>
  <c r="AD133" i="2"/>
  <c r="AD132" i="2"/>
  <c r="X131" i="2"/>
  <c r="T132" i="2" s="1"/>
  <c r="V132" i="2" s="1"/>
  <c r="W132" i="2" s="1"/>
  <c r="V131" i="2"/>
  <c r="W131" i="2" s="1"/>
  <c r="W130" i="2"/>
  <c r="P77" i="3" l="1"/>
  <c r="O77" i="3" s="1"/>
  <c r="R77" i="3" s="1"/>
  <c r="N78" i="3" s="1"/>
  <c r="P78" i="3" s="1"/>
  <c r="O78" i="3" s="1"/>
  <c r="R78" i="3" s="1"/>
  <c r="N79" i="3" s="1"/>
  <c r="P79" i="3" s="1"/>
  <c r="O79" i="3" s="1"/>
  <c r="R79" i="3" s="1"/>
  <c r="N80" i="3" s="1"/>
  <c r="P80" i="3" s="1"/>
  <c r="O80" i="3" s="1"/>
  <c r="R80" i="3" s="1"/>
  <c r="N81" i="3" s="1"/>
  <c r="P81" i="3" s="1"/>
  <c r="O81" i="3" s="1"/>
  <c r="R81" i="3" s="1"/>
  <c r="N82" i="3" s="1"/>
  <c r="P82" i="3" s="1"/>
  <c r="O82" i="3" s="1"/>
  <c r="R82" i="3" s="1"/>
  <c r="N83" i="3" s="1"/>
  <c r="P83" i="3" s="1"/>
  <c r="O83" i="3" s="1"/>
  <c r="R83" i="3" s="1"/>
  <c r="N84" i="3" s="1"/>
  <c r="AB132" i="2"/>
  <c r="AE132" i="2" s="1"/>
  <c r="AA133" i="2" s="1"/>
  <c r="AC133" i="2" s="1"/>
  <c r="X132" i="2"/>
  <c r="T133" i="2" s="1"/>
  <c r="AB133" i="2"/>
  <c r="AE133" i="2" s="1"/>
  <c r="AA134" i="2" s="1"/>
  <c r="AC134" i="2" s="1"/>
  <c r="X133" i="2"/>
  <c r="T134" i="2" s="1"/>
  <c r="V133" i="2"/>
  <c r="W133" i="2" s="1"/>
  <c r="P84" i="3" l="1"/>
  <c r="O84" i="3" s="1"/>
  <c r="R84" i="3" s="1"/>
  <c r="N85" i="3" s="1"/>
  <c r="P85" i="3" s="1"/>
  <c r="O85" i="3" s="1"/>
  <c r="R85" i="3" s="1"/>
  <c r="N86" i="3" s="1"/>
  <c r="AB134" i="2"/>
  <c r="AE134" i="2" s="1"/>
  <c r="AA135" i="2" s="1"/>
  <c r="AC135" i="2" s="1"/>
  <c r="X134" i="2"/>
  <c r="T135" i="2" s="1"/>
  <c r="V134" i="2"/>
  <c r="W134" i="2" s="1"/>
  <c r="P86" i="3" l="1"/>
  <c r="O86" i="3" s="1"/>
  <c r="R86" i="3" s="1"/>
  <c r="N87" i="3" s="1"/>
  <c r="P87" i="3" s="1"/>
  <c r="O87" i="3" s="1"/>
  <c r="R87" i="3" s="1"/>
  <c r="N88" i="3" s="1"/>
  <c r="P88" i="3" s="1"/>
  <c r="O88" i="3" s="1"/>
  <c r="R88" i="3" s="1"/>
  <c r="N89" i="3" s="1"/>
  <c r="AB135" i="2"/>
  <c r="AE135" i="2" s="1"/>
  <c r="AA136" i="2" s="1"/>
  <c r="AC136" i="2" s="1"/>
  <c r="X135" i="2"/>
  <c r="T136" i="2" s="1"/>
  <c r="V135" i="2"/>
  <c r="W135" i="2" s="1"/>
  <c r="P89" i="3" l="1"/>
  <c r="O89" i="3" s="1"/>
  <c r="R89" i="3" s="1"/>
  <c r="N90" i="3" s="1"/>
  <c r="AB136" i="2"/>
  <c r="AE136" i="2" s="1"/>
  <c r="AA137" i="2" s="1"/>
  <c r="AC137" i="2" s="1"/>
  <c r="V136" i="2"/>
  <c r="W136" i="2" s="1"/>
  <c r="X136" i="2"/>
  <c r="T137" i="2" s="1"/>
  <c r="P90" i="3" l="1"/>
  <c r="O90" i="3" s="1"/>
  <c r="R90" i="3" s="1"/>
  <c r="N91" i="3" s="1"/>
  <c r="P91" i="3" s="1"/>
  <c r="O91" i="3" s="1"/>
  <c r="R91" i="3" s="1"/>
  <c r="N92" i="3" s="1"/>
  <c r="P92" i="3" s="1"/>
  <c r="AB137" i="2"/>
  <c r="AE137" i="2" s="1"/>
  <c r="AA138" i="2" s="1"/>
  <c r="AC138" i="2" s="1"/>
  <c r="X137" i="2"/>
  <c r="T138" i="2" s="1"/>
  <c r="V137" i="2"/>
  <c r="W137" i="2" s="1"/>
  <c r="O92" i="3" l="1"/>
  <c r="R38" i="3"/>
  <c r="AB138" i="2"/>
  <c r="AE138" i="2" s="1"/>
  <c r="AA139" i="2" s="1"/>
  <c r="AC139" i="2" s="1"/>
  <c r="X138" i="2"/>
  <c r="T139" i="2" s="1"/>
  <c r="V138" i="2"/>
  <c r="W138" i="2" s="1"/>
  <c r="R92" i="3" l="1"/>
  <c r="N93" i="3" s="1"/>
  <c r="P93" i="3" s="1"/>
  <c r="O93" i="3" s="1"/>
  <c r="R93" i="3" s="1"/>
  <c r="N94" i="3" s="1"/>
  <c r="P94" i="3" s="1"/>
  <c r="O94" i="3" s="1"/>
  <c r="R94" i="3" s="1"/>
  <c r="N95" i="3" s="1"/>
  <c r="P95" i="3" s="1"/>
  <c r="O95" i="3" s="1"/>
  <c r="R95" i="3" s="1"/>
  <c r="N96" i="3" s="1"/>
  <c r="P96" i="3" s="1"/>
  <c r="O96" i="3" s="1"/>
  <c r="R96" i="3" s="1"/>
  <c r="N97" i="3" s="1"/>
  <c r="P97" i="3" s="1"/>
  <c r="O97" i="3" s="1"/>
  <c r="R97" i="3" s="1"/>
  <c r="N98" i="3" s="1"/>
  <c r="P98" i="3" s="1"/>
  <c r="O98" i="3" s="1"/>
  <c r="R98" i="3" s="1"/>
  <c r="N99" i="3" s="1"/>
  <c r="P99" i="3" s="1"/>
  <c r="O99" i="3" s="1"/>
  <c r="R99" i="3" s="1"/>
  <c r="N100" i="3" s="1"/>
  <c r="P100" i="3" s="1"/>
  <c r="O100" i="3" s="1"/>
  <c r="R100" i="3" s="1"/>
  <c r="N101" i="3" s="1"/>
  <c r="P101" i="3" s="1"/>
  <c r="O101" i="3" s="1"/>
  <c r="R101" i="3" s="1"/>
  <c r="N102" i="3" s="1"/>
  <c r="R37" i="3"/>
  <c r="AB139" i="2"/>
  <c r="AE139" i="2" s="1"/>
  <c r="AA140" i="2" s="1"/>
  <c r="AC140" i="2" s="1"/>
  <c r="X139" i="2"/>
  <c r="T140" i="2" s="1"/>
  <c r="V139" i="2"/>
  <c r="W139" i="2" s="1"/>
  <c r="P102" i="3" l="1"/>
  <c r="O102" i="3" s="1"/>
  <c r="R102" i="3" s="1"/>
  <c r="AB140" i="2"/>
  <c r="AE140" i="2" s="1"/>
  <c r="AA141" i="2" s="1"/>
  <c r="AC141" i="2" s="1"/>
  <c r="X140" i="2"/>
  <c r="T141" i="2" s="1"/>
  <c r="V140" i="2"/>
  <c r="W140" i="2" s="1"/>
  <c r="N103" i="3" l="1"/>
  <c r="P103" i="3" s="1"/>
  <c r="O103" i="3" s="1"/>
  <c r="R103" i="3" s="1"/>
  <c r="N104" i="3" s="1"/>
  <c r="P104" i="3" s="1"/>
  <c r="O104" i="3" s="1"/>
  <c r="R104" i="3" s="1"/>
  <c r="N105" i="3" s="1"/>
  <c r="P105" i="3" s="1"/>
  <c r="O105" i="3" s="1"/>
  <c r="R105" i="3" s="1"/>
  <c r="N106" i="3" s="1"/>
  <c r="R39" i="3"/>
  <c r="AB141" i="2"/>
  <c r="AE141" i="2" s="1"/>
  <c r="AA142" i="2" s="1"/>
  <c r="AC142" i="2" s="1"/>
  <c r="X141" i="2"/>
  <c r="T142" i="2" s="1"/>
  <c r="V141" i="2"/>
  <c r="W141" i="2" s="1"/>
  <c r="P106" i="3" l="1"/>
  <c r="O106" i="3" s="1"/>
  <c r="R106" i="3" s="1"/>
  <c r="N107" i="3" s="1"/>
  <c r="AB142" i="2"/>
  <c r="AE142" i="2" s="1"/>
  <c r="AA143" i="2" s="1"/>
  <c r="AC143" i="2" s="1"/>
  <c r="X142" i="2"/>
  <c r="T143" i="2" s="1"/>
  <c r="V142" i="2"/>
  <c r="W142" i="2" s="1"/>
  <c r="P107" i="3" l="1"/>
  <c r="O107" i="3" s="1"/>
  <c r="R107" i="3" s="1"/>
  <c r="N108" i="3" s="1"/>
  <c r="P108" i="3" s="1"/>
  <c r="O108" i="3" s="1"/>
  <c r="R108" i="3" s="1"/>
  <c r="N109" i="3" s="1"/>
  <c r="P109" i="3" s="1"/>
  <c r="O109" i="3" s="1"/>
  <c r="R109" i="3" s="1"/>
  <c r="N110" i="3" s="1"/>
  <c r="AB143" i="2"/>
  <c r="AE143" i="2" s="1"/>
  <c r="AA144" i="2" s="1"/>
  <c r="AC144" i="2" s="1"/>
  <c r="X143" i="2"/>
  <c r="T144" i="2" s="1"/>
  <c r="V143" i="2"/>
  <c r="W143" i="2" s="1"/>
  <c r="P110" i="3" l="1"/>
  <c r="O110" i="3" s="1"/>
  <c r="R110" i="3" s="1"/>
  <c r="N111" i="3" s="1"/>
  <c r="AB144" i="2"/>
  <c r="AE144" i="2" s="1"/>
  <c r="AA145" i="2" s="1"/>
  <c r="AC145" i="2" s="1"/>
  <c r="V144" i="2"/>
  <c r="W144" i="2" s="1"/>
  <c r="X144" i="2"/>
  <c r="T145" i="2" s="1"/>
  <c r="P111" i="3" l="1"/>
  <c r="O111" i="3" s="1"/>
  <c r="R111" i="3" s="1"/>
  <c r="N112" i="3" s="1"/>
  <c r="AB145" i="2"/>
  <c r="AE145" i="2" s="1"/>
  <c r="AA146" i="2" s="1"/>
  <c r="AC146" i="2" s="1"/>
  <c r="X145" i="2"/>
  <c r="T146" i="2" s="1"/>
  <c r="V145" i="2"/>
  <c r="W145" i="2" s="1"/>
  <c r="P112" i="3" l="1"/>
  <c r="O112" i="3" s="1"/>
  <c r="R112" i="3" s="1"/>
  <c r="N113" i="3" s="1"/>
  <c r="AB146" i="2"/>
  <c r="AE146" i="2" s="1"/>
  <c r="AA147" i="2" s="1"/>
  <c r="AC147" i="2" s="1"/>
  <c r="X146" i="2"/>
  <c r="T147" i="2" s="1"/>
  <c r="V146" i="2"/>
  <c r="W146" i="2" s="1"/>
  <c r="P113" i="3" l="1"/>
  <c r="O113" i="3" s="1"/>
  <c r="R113" i="3" s="1"/>
  <c r="N114" i="3" s="1"/>
  <c r="AB147" i="2"/>
  <c r="AE147" i="2" s="1"/>
  <c r="AA148" i="2" s="1"/>
  <c r="AC148" i="2" s="1"/>
  <c r="X147" i="2"/>
  <c r="T148" i="2" s="1"/>
  <c r="V147" i="2"/>
  <c r="W147" i="2" s="1"/>
  <c r="P114" i="3" l="1"/>
  <c r="O114" i="3" s="1"/>
  <c r="R114" i="3" s="1"/>
  <c r="N115" i="3" s="1"/>
  <c r="P115" i="3" s="1"/>
  <c r="O115" i="3" s="1"/>
  <c r="R115" i="3" s="1"/>
  <c r="N116" i="3" s="1"/>
  <c r="P116" i="3" s="1"/>
  <c r="O116" i="3" s="1"/>
  <c r="R116" i="3" s="1"/>
  <c r="N117" i="3" s="1"/>
  <c r="AB148" i="2"/>
  <c r="AE148" i="2" s="1"/>
  <c r="AA149" i="2" s="1"/>
  <c r="AC149" i="2" s="1"/>
  <c r="X148" i="2"/>
  <c r="T149" i="2" s="1"/>
  <c r="V148" i="2"/>
  <c r="W148" i="2" s="1"/>
  <c r="P117" i="3" l="1"/>
  <c r="O117" i="3" s="1"/>
  <c r="R117" i="3" s="1"/>
  <c r="N118" i="3" s="1"/>
  <c r="P118" i="3" s="1"/>
  <c r="O118" i="3" s="1"/>
  <c r="R118" i="3" s="1"/>
  <c r="N119" i="3" s="1"/>
  <c r="AB149" i="2"/>
  <c r="AE149" i="2" s="1"/>
  <c r="AA150" i="2" s="1"/>
  <c r="AC150" i="2" s="1"/>
  <c r="X149" i="2"/>
  <c r="T150" i="2" s="1"/>
  <c r="V149" i="2"/>
  <c r="W149" i="2" s="1"/>
  <c r="P119" i="3" l="1"/>
  <c r="O119" i="3" s="1"/>
  <c r="R119" i="3" s="1"/>
  <c r="N120" i="3" s="1"/>
  <c r="P120" i="3" s="1"/>
  <c r="O120" i="3" s="1"/>
  <c r="R120" i="3" s="1"/>
  <c r="N121" i="3" s="1"/>
  <c r="P121" i="3" s="1"/>
  <c r="O121" i="3" s="1"/>
  <c r="R121" i="3" s="1"/>
  <c r="N122" i="3" s="1"/>
  <c r="P122" i="3" s="1"/>
  <c r="O122" i="3" s="1"/>
  <c r="R122" i="3" s="1"/>
  <c r="N123" i="3" s="1"/>
  <c r="P123" i="3" s="1"/>
  <c r="O123" i="3" s="1"/>
  <c r="R123" i="3" s="1"/>
  <c r="N124" i="3" s="1"/>
  <c r="AB150" i="2"/>
  <c r="AE150" i="2" s="1"/>
  <c r="AA151" i="2" s="1"/>
  <c r="AC151" i="2" s="1"/>
  <c r="X150" i="2"/>
  <c r="T151" i="2" s="1"/>
  <c r="V150" i="2"/>
  <c r="W150" i="2" s="1"/>
  <c r="P124" i="3" l="1"/>
  <c r="O124" i="3" s="1"/>
  <c r="R124" i="3" s="1"/>
  <c r="N125" i="3" s="1"/>
  <c r="P125" i="3" s="1"/>
  <c r="O125" i="3" s="1"/>
  <c r="R125" i="3" s="1"/>
  <c r="N126" i="3" s="1"/>
  <c r="P126" i="3" s="1"/>
  <c r="O126" i="3" s="1"/>
  <c r="R126" i="3" s="1"/>
  <c r="N127" i="3" s="1"/>
  <c r="AB151" i="2"/>
  <c r="AE151" i="2" s="1"/>
  <c r="AA152" i="2" s="1"/>
  <c r="AC152" i="2" s="1"/>
  <c r="X151" i="2"/>
  <c r="T152" i="2" s="1"/>
  <c r="V151" i="2"/>
  <c r="W151" i="2" s="1"/>
  <c r="P127" i="3" l="1"/>
  <c r="O127" i="3" s="1"/>
  <c r="R127" i="3" s="1"/>
  <c r="N128" i="3" s="1"/>
  <c r="P128" i="3" s="1"/>
  <c r="O128" i="3" s="1"/>
  <c r="R128" i="3" s="1"/>
  <c r="N129" i="3" s="1"/>
  <c r="AB152" i="2"/>
  <c r="AE152" i="2" s="1"/>
  <c r="AA153" i="2" s="1"/>
  <c r="AC153" i="2" s="1"/>
  <c r="X152" i="2"/>
  <c r="T153" i="2" s="1"/>
  <c r="V152" i="2"/>
  <c r="W152" i="2" s="1"/>
  <c r="P129" i="3" l="1"/>
  <c r="O129" i="3" s="1"/>
  <c r="R129" i="3" s="1"/>
  <c r="N130" i="3" s="1"/>
  <c r="AB153" i="2"/>
  <c r="AE153" i="2" s="1"/>
  <c r="AA154" i="2" s="1"/>
  <c r="AC154" i="2" s="1"/>
  <c r="X153" i="2"/>
  <c r="T154" i="2" s="1"/>
  <c r="V153" i="2"/>
  <c r="W153" i="2" s="1"/>
  <c r="P130" i="3" l="1"/>
  <c r="O130" i="3" s="1"/>
  <c r="R130" i="3" s="1"/>
  <c r="N131" i="3" s="1"/>
  <c r="P131" i="3" s="1"/>
  <c r="O131" i="3" s="1"/>
  <c r="R131" i="3" s="1"/>
  <c r="N132" i="3" s="1"/>
  <c r="AB154" i="2"/>
  <c r="AE154" i="2" s="1"/>
  <c r="AA155" i="2" s="1"/>
  <c r="AC155" i="2" s="1"/>
  <c r="X154" i="2"/>
  <c r="T155" i="2" s="1"/>
  <c r="V154" i="2"/>
  <c r="W154" i="2" s="1"/>
  <c r="P132" i="3" l="1"/>
  <c r="O132" i="3" s="1"/>
  <c r="R132" i="3" s="1"/>
  <c r="N133" i="3" s="1"/>
  <c r="AB155" i="2"/>
  <c r="AE155" i="2" s="1"/>
  <c r="AA156" i="2" s="1"/>
  <c r="AC156" i="2" s="1"/>
  <c r="X155" i="2"/>
  <c r="T156" i="2" s="1"/>
  <c r="V155" i="2"/>
  <c r="W155" i="2" s="1"/>
  <c r="P133" i="3" l="1"/>
  <c r="O133" i="3" s="1"/>
  <c r="R133" i="3" s="1"/>
  <c r="N134" i="3" s="1"/>
  <c r="AB156" i="2"/>
  <c r="AE156" i="2" s="1"/>
  <c r="AA157" i="2" s="1"/>
  <c r="AC157" i="2" s="1"/>
  <c r="X156" i="2"/>
  <c r="T157" i="2" s="1"/>
  <c r="V156" i="2"/>
  <c r="W156" i="2" s="1"/>
  <c r="P134" i="3" l="1"/>
  <c r="O134" i="3" s="1"/>
  <c r="R134" i="3" s="1"/>
  <c r="N135" i="3" s="1"/>
  <c r="AB157" i="2"/>
  <c r="AE157" i="2" s="1"/>
  <c r="AA158" i="2" s="1"/>
  <c r="AC158" i="2" s="1"/>
  <c r="X157" i="2"/>
  <c r="T158" i="2" s="1"/>
  <c r="V157" i="2"/>
  <c r="W157" i="2" s="1"/>
  <c r="P135" i="3" l="1"/>
  <c r="O135" i="3" s="1"/>
  <c r="R135" i="3" s="1"/>
  <c r="N136" i="3" s="1"/>
  <c r="P136" i="3" s="1"/>
  <c r="O136" i="3" s="1"/>
  <c r="R136" i="3" s="1"/>
  <c r="N137" i="3" s="1"/>
  <c r="P137" i="3" s="1"/>
  <c r="O137" i="3" s="1"/>
  <c r="R137" i="3" s="1"/>
  <c r="N138" i="3" s="1"/>
  <c r="AB158" i="2"/>
  <c r="AE158" i="2" s="1"/>
  <c r="AA159" i="2" s="1"/>
  <c r="AC159" i="2" s="1"/>
  <c r="X158" i="2"/>
  <c r="T159" i="2" s="1"/>
  <c r="V158" i="2"/>
  <c r="W158" i="2" s="1"/>
  <c r="P138" i="3" l="1"/>
  <c r="O138" i="3" s="1"/>
  <c r="R138" i="3" s="1"/>
  <c r="N139" i="3" s="1"/>
  <c r="AB159" i="2"/>
  <c r="AE159" i="2" s="1"/>
  <c r="AA160" i="2" s="1"/>
  <c r="AC160" i="2" s="1"/>
  <c r="X159" i="2"/>
  <c r="T160" i="2" s="1"/>
  <c r="V159" i="2"/>
  <c r="W159" i="2" s="1"/>
  <c r="P139" i="3" l="1"/>
  <c r="O139" i="3" s="1"/>
  <c r="R139" i="3" s="1"/>
  <c r="N140" i="3" s="1"/>
  <c r="AB160" i="2"/>
  <c r="AE160" i="2" s="1"/>
  <c r="AA161" i="2" s="1"/>
  <c r="AC161" i="2" s="1"/>
  <c r="X160" i="2"/>
  <c r="T161" i="2" s="1"/>
  <c r="V160" i="2"/>
  <c r="W160" i="2" s="1"/>
  <c r="P140" i="3" l="1"/>
  <c r="O140" i="3" s="1"/>
  <c r="R140" i="3" s="1"/>
  <c r="N141" i="3" s="1"/>
  <c r="AB161" i="2"/>
  <c r="AE161" i="2" s="1"/>
  <c r="AA162" i="2" s="1"/>
  <c r="AC162" i="2" s="1"/>
  <c r="X161" i="2"/>
  <c r="T162" i="2" s="1"/>
  <c r="V161" i="2"/>
  <c r="W161" i="2" s="1"/>
  <c r="P141" i="3" l="1"/>
  <c r="O141" i="3" s="1"/>
  <c r="R141" i="3" s="1"/>
  <c r="N142" i="3" s="1"/>
  <c r="P142" i="3" s="1"/>
  <c r="O142" i="3" s="1"/>
  <c r="R142" i="3" s="1"/>
  <c r="N143" i="3" s="1"/>
  <c r="P143" i="3" s="1"/>
  <c r="O143" i="3" s="1"/>
  <c r="R143" i="3" s="1"/>
  <c r="N144" i="3" s="1"/>
  <c r="P144" i="3" s="1"/>
  <c r="O144" i="3" s="1"/>
  <c r="R144" i="3" s="1"/>
  <c r="N145" i="3" s="1"/>
  <c r="AB162" i="2"/>
  <c r="AE162" i="2" s="1"/>
  <c r="AA163" i="2" s="1"/>
  <c r="AC163" i="2" s="1"/>
  <c r="X162" i="2"/>
  <c r="T163" i="2" s="1"/>
  <c r="V162" i="2"/>
  <c r="W162" i="2" s="1"/>
  <c r="P145" i="3" l="1"/>
  <c r="O145" i="3" s="1"/>
  <c r="R145" i="3" s="1"/>
  <c r="N146" i="3" s="1"/>
  <c r="AB163" i="2"/>
  <c r="AE163" i="2" s="1"/>
  <c r="AA164" i="2" s="1"/>
  <c r="AC164" i="2" s="1"/>
  <c r="V163" i="2"/>
  <c r="W163" i="2" s="1"/>
  <c r="X163" i="2"/>
  <c r="T164" i="2" s="1"/>
  <c r="P146" i="3" l="1"/>
  <c r="O146" i="3" s="1"/>
  <c r="R146" i="3" s="1"/>
  <c r="N147" i="3" s="1"/>
  <c r="P147" i="3" s="1"/>
  <c r="O147" i="3" s="1"/>
  <c r="R147" i="3" s="1"/>
  <c r="N148" i="3" s="1"/>
  <c r="AB164" i="2"/>
  <c r="AE164" i="2" s="1"/>
  <c r="AA165" i="2" s="1"/>
  <c r="AC165" i="2" s="1"/>
  <c r="X164" i="2"/>
  <c r="T165" i="2" s="1"/>
  <c r="V164" i="2"/>
  <c r="W164" i="2" s="1"/>
  <c r="P148" i="3" l="1"/>
  <c r="O148" i="3" s="1"/>
  <c r="R148" i="3" s="1"/>
  <c r="N149" i="3" s="1"/>
  <c r="P149" i="3" s="1"/>
  <c r="O149" i="3" s="1"/>
  <c r="R149" i="3" s="1"/>
  <c r="N150" i="3" s="1"/>
  <c r="P150" i="3" s="1"/>
  <c r="O150" i="3" s="1"/>
  <c r="R150" i="3" s="1"/>
  <c r="AB165" i="2"/>
  <c r="AE165" i="2" s="1"/>
  <c r="AA166" i="2" s="1"/>
  <c r="AC166" i="2" s="1"/>
  <c r="X165" i="2"/>
  <c r="T166" i="2" s="1"/>
  <c r="V165" i="2"/>
  <c r="W165" i="2" s="1"/>
  <c r="AB166" i="2" l="1"/>
  <c r="AE166" i="2" s="1"/>
  <c r="AA167" i="2" s="1"/>
  <c r="AC167" i="2" s="1"/>
  <c r="X166" i="2"/>
  <c r="T167" i="2" s="1"/>
  <c r="V166" i="2"/>
  <c r="W166" i="2" s="1"/>
  <c r="AB167" i="2" l="1"/>
  <c r="AE167" i="2" s="1"/>
  <c r="AA168" i="2" s="1"/>
  <c r="AC168" i="2" s="1"/>
  <c r="X167" i="2"/>
  <c r="T168" i="2" s="1"/>
  <c r="V167" i="2"/>
  <c r="W167" i="2" s="1"/>
  <c r="AB168" i="2" l="1"/>
  <c r="AE168" i="2" s="1"/>
  <c r="AA169" i="2" s="1"/>
  <c r="AC169" i="2" s="1"/>
  <c r="V168" i="2"/>
  <c r="W168" i="2" s="1"/>
  <c r="X168" i="2"/>
  <c r="T169" i="2" s="1"/>
  <c r="AB169" i="2" l="1"/>
  <c r="AE169" i="2" s="1"/>
  <c r="AA170" i="2" s="1"/>
  <c r="AC170" i="2" s="1"/>
  <c r="X169" i="2"/>
  <c r="T170" i="2" s="1"/>
  <c r="V169" i="2"/>
  <c r="W169" i="2" s="1"/>
  <c r="AB170" i="2" l="1"/>
  <c r="AE170" i="2" s="1"/>
  <c r="AA171" i="2" s="1"/>
  <c r="AC171" i="2" s="1"/>
  <c r="X170" i="2"/>
  <c r="T171" i="2" s="1"/>
  <c r="V170" i="2"/>
  <c r="W170" i="2" s="1"/>
  <c r="AB171" i="2" l="1"/>
  <c r="AE171" i="2" s="1"/>
  <c r="AA172" i="2" s="1"/>
  <c r="AC172" i="2" s="1"/>
  <c r="X171" i="2"/>
  <c r="T172" i="2" s="1"/>
  <c r="V171" i="2"/>
  <c r="W171" i="2" s="1"/>
  <c r="AB172" i="2" l="1"/>
  <c r="AE172" i="2" s="1"/>
  <c r="AA173" i="2" s="1"/>
  <c r="AC173" i="2" s="1"/>
  <c r="X172" i="2"/>
  <c r="T173" i="2" s="1"/>
  <c r="V172" i="2"/>
  <c r="W172" i="2" s="1"/>
  <c r="AB173" i="2" l="1"/>
  <c r="AE173" i="2" s="1"/>
  <c r="AA174" i="2" s="1"/>
  <c r="AC174" i="2" s="1"/>
  <c r="X173" i="2"/>
  <c r="T174" i="2" s="1"/>
  <c r="V173" i="2"/>
  <c r="W173" i="2" s="1"/>
  <c r="AB174" i="2" l="1"/>
  <c r="AE174" i="2" s="1"/>
  <c r="AA175" i="2" s="1"/>
  <c r="AC175" i="2" s="1"/>
  <c r="X174" i="2"/>
  <c r="T175" i="2" s="1"/>
  <c r="V174" i="2"/>
  <c r="W174" i="2" s="1"/>
  <c r="AB175" i="2" l="1"/>
  <c r="AE175" i="2" s="1"/>
  <c r="AA176" i="2" s="1"/>
  <c r="AC176" i="2" s="1"/>
  <c r="X175" i="2"/>
  <c r="T176" i="2" s="1"/>
  <c r="V175" i="2"/>
  <c r="W175" i="2" s="1"/>
  <c r="AB176" i="2" l="1"/>
  <c r="AE176" i="2" s="1"/>
  <c r="AA177" i="2" s="1"/>
  <c r="AC177" i="2" s="1"/>
  <c r="X176" i="2"/>
  <c r="T177" i="2" s="1"/>
  <c r="V176" i="2"/>
  <c r="W176" i="2" s="1"/>
  <c r="AB177" i="2" l="1"/>
  <c r="AE177" i="2" s="1"/>
  <c r="AA178" i="2" s="1"/>
  <c r="AC178" i="2" s="1"/>
  <c r="X177" i="2"/>
  <c r="T178" i="2" s="1"/>
  <c r="V177" i="2"/>
  <c r="W177" i="2" s="1"/>
  <c r="AB178" i="2" l="1"/>
  <c r="AE178" i="2" s="1"/>
  <c r="AA179" i="2" s="1"/>
  <c r="AC179" i="2" s="1"/>
  <c r="X178" i="2"/>
  <c r="T179" i="2" s="1"/>
  <c r="V178" i="2"/>
  <c r="W178" i="2" s="1"/>
  <c r="AB179" i="2" l="1"/>
  <c r="AE179" i="2" s="1"/>
  <c r="AA180" i="2" s="1"/>
  <c r="AC180" i="2" s="1"/>
  <c r="X179" i="2"/>
  <c r="T180" i="2" s="1"/>
  <c r="V179" i="2"/>
  <c r="W179" i="2" s="1"/>
  <c r="AB180" i="2" l="1"/>
  <c r="AE180" i="2" s="1"/>
  <c r="AA181" i="2" s="1"/>
  <c r="AC181" i="2" s="1"/>
  <c r="X180" i="2"/>
  <c r="T181" i="2" s="1"/>
  <c r="V180" i="2"/>
  <c r="W180" i="2" s="1"/>
  <c r="AB181" i="2" l="1"/>
  <c r="AE181" i="2" s="1"/>
  <c r="AA182" i="2" s="1"/>
  <c r="AC182" i="2" s="1"/>
  <c r="X181" i="2"/>
  <c r="T182" i="2" s="1"/>
  <c r="V181" i="2"/>
  <c r="W181" i="2" s="1"/>
  <c r="AB182" i="2" l="1"/>
  <c r="AE182" i="2" s="1"/>
  <c r="AA183" i="2" s="1"/>
  <c r="AC183" i="2" s="1"/>
  <c r="X182" i="2"/>
  <c r="T183" i="2" s="1"/>
  <c r="V182" i="2"/>
  <c r="W182" i="2" s="1"/>
  <c r="AB183" i="2" l="1"/>
  <c r="AE183" i="2" s="1"/>
  <c r="AA184" i="2" s="1"/>
  <c r="AC184" i="2" s="1"/>
  <c r="X183" i="2"/>
  <c r="T184" i="2" s="1"/>
  <c r="V183" i="2"/>
  <c r="W183" i="2" s="1"/>
  <c r="AB184" i="2" l="1"/>
  <c r="AE184" i="2" s="1"/>
  <c r="AA185" i="2" s="1"/>
  <c r="AC185" i="2" s="1"/>
  <c r="V184" i="2"/>
  <c r="W184" i="2" s="1"/>
  <c r="X184" i="2"/>
  <c r="T185" i="2" s="1"/>
  <c r="AB185" i="2" l="1"/>
  <c r="AE185" i="2"/>
  <c r="AA186" i="2" s="1"/>
  <c r="AC186" i="2" s="1"/>
  <c r="X185" i="2"/>
  <c r="T186" i="2" s="1"/>
  <c r="V185" i="2"/>
  <c r="W185" i="2" s="1"/>
  <c r="AB186" i="2" l="1"/>
  <c r="AE186" i="2" s="1"/>
  <c r="AA187" i="2" s="1"/>
  <c r="AC187" i="2" s="1"/>
  <c r="X186" i="2"/>
  <c r="T187" i="2" s="1"/>
  <c r="V186" i="2"/>
  <c r="W186" i="2" s="1"/>
  <c r="AB187" i="2" l="1"/>
  <c r="AE187" i="2" s="1"/>
  <c r="AA188" i="2" s="1"/>
  <c r="AC188" i="2" s="1"/>
  <c r="X187" i="2"/>
  <c r="T188" i="2" s="1"/>
  <c r="V187" i="2"/>
  <c r="W187" i="2" s="1"/>
  <c r="AB188" i="2" l="1"/>
  <c r="AE188" i="2" s="1"/>
  <c r="AA189" i="2" s="1"/>
  <c r="AC189" i="2" s="1"/>
  <c r="X188" i="2"/>
  <c r="T189" i="2" s="1"/>
  <c r="V188" i="2"/>
  <c r="W188" i="2" s="1"/>
  <c r="AB189" i="2" l="1"/>
  <c r="AE189" i="2" s="1"/>
  <c r="X189" i="2"/>
  <c r="T190" i="2" s="1"/>
  <c r="V189" i="2"/>
  <c r="W189" i="2" s="1"/>
  <c r="X190" i="2" l="1"/>
  <c r="T191" i="2" s="1"/>
  <c r="V190" i="2"/>
  <c r="W190" i="2" s="1"/>
  <c r="X191" i="2" l="1"/>
  <c r="T192" i="2" s="1"/>
  <c r="V191" i="2"/>
  <c r="W191" i="2" s="1"/>
  <c r="V192" i="2" l="1"/>
  <c r="W192" i="2" s="1"/>
  <c r="X192" i="2"/>
  <c r="T193" i="2" s="1"/>
  <c r="X193" i="2" l="1"/>
  <c r="T194" i="2" s="1"/>
  <c r="V193" i="2"/>
  <c r="W193" i="2" s="1"/>
  <c r="X194" i="2" l="1"/>
  <c r="T195" i="2" s="1"/>
  <c r="V194" i="2"/>
  <c r="W194" i="2" s="1"/>
  <c r="V195" i="2" l="1"/>
  <c r="W195" i="2" s="1"/>
  <c r="X195" i="2"/>
  <c r="T196" i="2" s="1"/>
  <c r="X196" i="2" l="1"/>
  <c r="T197" i="2" s="1"/>
  <c r="V196" i="2"/>
  <c r="W196" i="2" s="1"/>
  <c r="X197" i="2" l="1"/>
  <c r="T198" i="2" s="1"/>
  <c r="V197" i="2"/>
  <c r="W197" i="2" s="1"/>
  <c r="X198" i="2" l="1"/>
  <c r="T199" i="2" s="1"/>
  <c r="V198" i="2"/>
  <c r="W198" i="2" s="1"/>
  <c r="X199" i="2" l="1"/>
  <c r="T200" i="2" s="1"/>
  <c r="V199" i="2"/>
  <c r="W199" i="2" s="1"/>
  <c r="X200" i="2" l="1"/>
  <c r="T201" i="2" s="1"/>
  <c r="V200" i="2"/>
  <c r="W200" i="2" s="1"/>
  <c r="X201" i="2" l="1"/>
  <c r="T202" i="2" s="1"/>
  <c r="V201" i="2"/>
  <c r="W201" i="2" s="1"/>
  <c r="X202" i="2" l="1"/>
  <c r="T203" i="2" s="1"/>
  <c r="V202" i="2"/>
  <c r="W202" i="2" s="1"/>
  <c r="X203" i="2" l="1"/>
  <c r="T204" i="2" s="1"/>
  <c r="V203" i="2"/>
  <c r="W203" i="2" s="1"/>
  <c r="X204" i="2" l="1"/>
  <c r="T205" i="2" s="1"/>
  <c r="V204" i="2"/>
  <c r="W204" i="2" s="1"/>
  <c r="X205" i="2" l="1"/>
  <c r="T206" i="2" s="1"/>
  <c r="V205" i="2"/>
  <c r="W205" i="2" s="1"/>
  <c r="X206" i="2" l="1"/>
  <c r="T207" i="2" s="1"/>
  <c r="V206" i="2"/>
  <c r="W206" i="2" s="1"/>
  <c r="X207" i="2" l="1"/>
  <c r="T208" i="2" s="1"/>
  <c r="V207" i="2"/>
  <c r="W207" i="2" s="1"/>
  <c r="X208" i="2" l="1"/>
  <c r="T209" i="2" s="1"/>
  <c r="V208" i="2"/>
  <c r="W208" i="2" s="1"/>
  <c r="X209" i="2" l="1"/>
  <c r="T210" i="2" s="1"/>
  <c r="V209" i="2"/>
  <c r="W209" i="2" s="1"/>
  <c r="X210" i="2" l="1"/>
  <c r="T211" i="2" s="1"/>
  <c r="V210" i="2"/>
  <c r="W210" i="2" s="1"/>
  <c r="X211" i="2" l="1"/>
  <c r="T212" i="2" s="1"/>
  <c r="V211" i="2"/>
  <c r="W211" i="2" s="1"/>
  <c r="X212" i="2" l="1"/>
  <c r="T213" i="2" s="1"/>
  <c r="V212" i="2"/>
  <c r="W212" i="2" s="1"/>
  <c r="X213" i="2" l="1"/>
  <c r="T214" i="2" s="1"/>
  <c r="V213" i="2"/>
  <c r="W213" i="2" s="1"/>
  <c r="X214" i="2" l="1"/>
  <c r="T215" i="2" s="1"/>
  <c r="V214" i="2"/>
  <c r="W214" i="2" s="1"/>
  <c r="X215" i="2" l="1"/>
  <c r="T216" i="2" s="1"/>
  <c r="V215" i="2"/>
  <c r="W215" i="2" s="1"/>
  <c r="X216" i="2" l="1"/>
  <c r="T217" i="2" s="1"/>
  <c r="V216" i="2"/>
  <c r="W216" i="2" s="1"/>
  <c r="X217" i="2" l="1"/>
  <c r="T218" i="2" s="1"/>
  <c r="V217" i="2"/>
  <c r="W217" i="2" s="1"/>
  <c r="X218" i="2" l="1"/>
  <c r="T219" i="2" s="1"/>
  <c r="V218" i="2"/>
  <c r="W218" i="2" s="1"/>
  <c r="X219" i="2" l="1"/>
  <c r="T220" i="2" s="1"/>
  <c r="V219" i="2"/>
  <c r="W219" i="2" s="1"/>
  <c r="X220" i="2" l="1"/>
  <c r="T221" i="2" s="1"/>
  <c r="V220" i="2"/>
  <c r="W220" i="2" s="1"/>
  <c r="X221" i="2" l="1"/>
  <c r="T222" i="2" s="1"/>
  <c r="V221" i="2"/>
  <c r="W221" i="2" s="1"/>
  <c r="X222" i="2" l="1"/>
  <c r="T223" i="2" s="1"/>
  <c r="V222" i="2"/>
  <c r="W222" i="2" s="1"/>
  <c r="X223" i="2" l="1"/>
  <c r="T224" i="2" s="1"/>
  <c r="V223" i="2"/>
  <c r="W223" i="2" s="1"/>
  <c r="X224" i="2" l="1"/>
  <c r="T225" i="2" s="1"/>
  <c r="V224" i="2"/>
  <c r="W224" i="2" s="1"/>
  <c r="X225" i="2" l="1"/>
  <c r="T226" i="2" s="1"/>
  <c r="V225" i="2"/>
  <c r="W225" i="2" s="1"/>
  <c r="X226" i="2" l="1"/>
  <c r="T227" i="2" s="1"/>
  <c r="V226" i="2"/>
  <c r="W226" i="2" s="1"/>
  <c r="X227" i="2" l="1"/>
  <c r="T228" i="2" s="1"/>
  <c r="V227" i="2"/>
  <c r="W227" i="2" s="1"/>
  <c r="X228" i="2" l="1"/>
  <c r="T229" i="2" s="1"/>
  <c r="V228" i="2"/>
  <c r="W228" i="2" s="1"/>
  <c r="X229" i="2" l="1"/>
  <c r="T230" i="2" s="1"/>
  <c r="V229" i="2"/>
  <c r="W229" i="2" s="1"/>
  <c r="X230" i="2" l="1"/>
  <c r="T231" i="2" s="1"/>
  <c r="V230" i="2"/>
  <c r="W230" i="2" s="1"/>
  <c r="X231" i="2" l="1"/>
  <c r="T232" i="2" s="1"/>
  <c r="V231" i="2"/>
  <c r="W231" i="2" s="1"/>
  <c r="X232" i="2" l="1"/>
  <c r="T233" i="2" s="1"/>
  <c r="V232" i="2"/>
  <c r="W232" i="2" s="1"/>
  <c r="X233" i="2" l="1"/>
  <c r="T234" i="2" s="1"/>
  <c r="V233" i="2"/>
  <c r="W233" i="2" s="1"/>
  <c r="X234" i="2" l="1"/>
  <c r="T235" i="2" s="1"/>
  <c r="V234" i="2"/>
  <c r="W234" i="2" s="1"/>
  <c r="V235" i="2" l="1"/>
  <c r="W235" i="2" s="1"/>
  <c r="X235" i="2"/>
  <c r="T236" i="2" s="1"/>
  <c r="X236" i="2" l="1"/>
  <c r="T237" i="2" s="1"/>
  <c r="V236" i="2"/>
  <c r="W236" i="2" s="1"/>
  <c r="X237" i="2" l="1"/>
  <c r="T238" i="2" s="1"/>
  <c r="V237" i="2"/>
  <c r="W237" i="2" s="1"/>
  <c r="X238" i="2" l="1"/>
  <c r="T239" i="2" s="1"/>
  <c r="V238" i="2"/>
  <c r="W238" i="2" s="1"/>
  <c r="X239" i="2" l="1"/>
  <c r="T240" i="2" s="1"/>
  <c r="V239" i="2"/>
  <c r="W239" i="2" s="1"/>
  <c r="X240" i="2" l="1"/>
  <c r="T241" i="2" s="1"/>
  <c r="V240" i="2"/>
  <c r="W240" i="2" s="1"/>
  <c r="X241" i="2" l="1"/>
  <c r="T242" i="2" s="1"/>
  <c r="V241" i="2"/>
  <c r="W241" i="2" s="1"/>
  <c r="X242" i="2" l="1"/>
  <c r="T243" i="2" s="1"/>
  <c r="V242" i="2"/>
  <c r="W242" i="2" s="1"/>
  <c r="X243" i="2" l="1"/>
  <c r="T244" i="2" s="1"/>
  <c r="V243" i="2"/>
  <c r="W243" i="2" s="1"/>
  <c r="X244" i="2" l="1"/>
  <c r="T245" i="2" s="1"/>
  <c r="V244" i="2"/>
  <c r="W244" i="2" s="1"/>
  <c r="X245" i="2" l="1"/>
  <c r="T246" i="2" s="1"/>
  <c r="V245" i="2"/>
  <c r="W245" i="2" s="1"/>
  <c r="X246" i="2" l="1"/>
  <c r="T247" i="2" s="1"/>
  <c r="V246" i="2"/>
  <c r="W246" i="2" s="1"/>
  <c r="X247" i="2" l="1"/>
  <c r="T248" i="2" s="1"/>
  <c r="V247" i="2"/>
  <c r="W247" i="2" s="1"/>
  <c r="X248" i="2" l="1"/>
  <c r="T249" i="2" s="1"/>
  <c r="V248" i="2"/>
  <c r="W248" i="2" s="1"/>
  <c r="X249" i="2" l="1"/>
  <c r="V249" i="2"/>
  <c r="W249" i="2" s="1"/>
  <c r="M106" i="2" l="1"/>
  <c r="M104" i="2"/>
  <c r="M103" i="2"/>
  <c r="H103" i="2"/>
  <c r="L75" i="2"/>
  <c r="K74" i="2"/>
  <c r="O39" i="2"/>
  <c r="O41" i="2" s="1"/>
  <c r="O43" i="2" s="1"/>
  <c r="Q42" i="2" s="1"/>
  <c r="N15" i="2"/>
  <c r="O16" i="2"/>
  <c r="P16" i="2"/>
  <c r="R15" i="2"/>
  <c r="M107" i="2" l="1"/>
  <c r="I107" i="2" s="1"/>
  <c r="L4" i="2"/>
  <c r="K4" i="2"/>
  <c r="J4" i="2"/>
  <c r="H4" i="2"/>
</calcChain>
</file>

<file path=xl/sharedStrings.xml><?xml version="1.0" encoding="utf-8"?>
<sst xmlns="http://schemas.openxmlformats.org/spreadsheetml/2006/main" count="216" uniqueCount="125">
  <si>
    <t>n</t>
  </si>
  <si>
    <t>א</t>
  </si>
  <si>
    <t>ב</t>
  </si>
  <si>
    <t>ג</t>
  </si>
  <si>
    <t>ד</t>
  </si>
  <si>
    <t>ה</t>
  </si>
  <si>
    <t>fv</t>
  </si>
  <si>
    <t>r</t>
  </si>
  <si>
    <t>A</t>
  </si>
  <si>
    <t>IRR</t>
  </si>
  <si>
    <t>FV</t>
  </si>
  <si>
    <t>C</t>
  </si>
  <si>
    <t>N</t>
  </si>
  <si>
    <t>PV</t>
  </si>
  <si>
    <t>I</t>
  </si>
  <si>
    <t>T</t>
  </si>
  <si>
    <t>R</t>
  </si>
  <si>
    <t>pv</t>
  </si>
  <si>
    <t>B</t>
  </si>
  <si>
    <t>יעד</t>
  </si>
  <si>
    <t>חסר</t>
  </si>
  <si>
    <t>pv 3</t>
  </si>
  <si>
    <t>ערוץ התקשורת</t>
  </si>
  <si>
    <t>השקעה ראשונית נדרשת</t>
  </si>
  <si>
    <t>ערך נוכחי נקי של ההשקעה</t>
  </si>
  <si>
    <t>מדד הרווחיות</t>
  </si>
  <si>
    <t>Facebook</t>
  </si>
  <si>
    <t>Instagram</t>
  </si>
  <si>
    <t>טלוויזיה</t>
  </si>
  <si>
    <t>עיתונות כתובה</t>
  </si>
  <si>
    <t>WhatsApp</t>
  </si>
  <si>
    <t>מחיר</t>
  </si>
  <si>
    <t>עליית מחירים</t>
  </si>
  <si>
    <t>מחיר לאחר עלייה</t>
  </si>
  <si>
    <t>i</t>
  </si>
  <si>
    <t>t</t>
  </si>
  <si>
    <t>c</t>
  </si>
  <si>
    <t>r year</t>
  </si>
  <si>
    <t>סדרה B</t>
  </si>
  <si>
    <t>סדרה A</t>
  </si>
  <si>
    <t>תשואה לפדיון רבעונית</t>
  </si>
  <si>
    <t>type</t>
  </si>
  <si>
    <t>שנות הפנסיה:</t>
  </si>
  <si>
    <t>מספר תקופות</t>
  </si>
  <si>
    <t>ריבית שנתית נקובה</t>
  </si>
  <si>
    <t>ריבית חודשית</t>
  </si>
  <si>
    <t>קצבה חודשית</t>
  </si>
  <si>
    <t>זה הסכום שצריך להצטבר בגיל 67 על מנת שגדי יוכל לקבל את הקצבה הרצויה.</t>
  </si>
  <si>
    <t xml:space="preserve">מספר תקופות </t>
  </si>
  <si>
    <t>הסכום שגדי צריך להפקיד היום</t>
  </si>
  <si>
    <t>שנות החסכון:</t>
  </si>
  <si>
    <t>הפרוייקטים הנבחרים</t>
  </si>
  <si>
    <t>ענ"נ</t>
  </si>
  <si>
    <t>מדד רווחיות</t>
  </si>
  <si>
    <t>יתרת תקציב</t>
  </si>
  <si>
    <t>שלוש שנים - ברבעונים</t>
  </si>
  <si>
    <t>פתרון שאלה 1 מהאמריקאיות</t>
  </si>
  <si>
    <t>פתרון שאלה 2 מהאמריקאיות</t>
  </si>
  <si>
    <t>פתרון שאלה 3 מהאמריקאיות</t>
  </si>
  <si>
    <t>פתרון שאלה 11 מהאמריקאיות</t>
  </si>
  <si>
    <t>PMT</t>
  </si>
  <si>
    <t>FV48</t>
  </si>
  <si>
    <t>תשובה 1 נכונה</t>
  </si>
  <si>
    <t>נתונים:</t>
  </si>
  <si>
    <t>הלוואה</t>
  </si>
  <si>
    <t>ריבית</t>
  </si>
  <si>
    <t>קרן קבועה</t>
  </si>
  <si>
    <t>מספר תקבול</t>
  </si>
  <si>
    <t>יתרת הקרן בתחילת תקופה</t>
  </si>
  <si>
    <t>תשלום ע"ח קרן</t>
  </si>
  <si>
    <t>תשלום ע"ח ריבית</t>
  </si>
  <si>
    <t>סך הכל תשלום</t>
  </si>
  <si>
    <t>יתרת הקרן בסוף התקופה</t>
  </si>
  <si>
    <t xml:space="preserve">Rשנתי </t>
  </si>
  <si>
    <t>חודשים</t>
  </si>
  <si>
    <t>שפיצר</t>
  </si>
  <si>
    <t>רגיל</t>
  </si>
  <si>
    <t>R1</t>
  </si>
  <si>
    <t>R2</t>
  </si>
  <si>
    <t>R3</t>
  </si>
  <si>
    <t>H1</t>
  </si>
  <si>
    <t>H2</t>
  </si>
  <si>
    <t>H3</t>
  </si>
  <si>
    <t>FV1</t>
  </si>
  <si>
    <t>FV2</t>
  </si>
  <si>
    <t>FV3</t>
  </si>
  <si>
    <t>NPVA</t>
  </si>
  <si>
    <t>NPVB</t>
  </si>
  <si>
    <t>R שנתי</t>
  </si>
  <si>
    <t>R דו חודשי</t>
  </si>
  <si>
    <t>עמלה</t>
  </si>
  <si>
    <t>תקופות דו חודשיות</t>
  </si>
  <si>
    <t>גרייס לקרן</t>
  </si>
  <si>
    <t>בלון</t>
  </si>
  <si>
    <t>חצי שנה</t>
  </si>
  <si>
    <t>שנה</t>
  </si>
  <si>
    <t>P.V1</t>
  </si>
  <si>
    <t>P.V2</t>
  </si>
  <si>
    <t>N1</t>
  </si>
  <si>
    <t>N2</t>
  </si>
  <si>
    <t>N3</t>
  </si>
  <si>
    <t>FV15</t>
  </si>
  <si>
    <t>FV36</t>
  </si>
  <si>
    <t>הנפקת אג"ח</t>
  </si>
  <si>
    <t>תשלום חודשי</t>
  </si>
  <si>
    <t>ערך נקוב</t>
  </si>
  <si>
    <t>תקופות בחודשים</t>
  </si>
  <si>
    <t>ריבית אפקטיבית שנתית</t>
  </si>
  <si>
    <t>מרווח בין קופונים</t>
  </si>
  <si>
    <t>תשואה שנתית לפדיון</t>
  </si>
  <si>
    <t xml:space="preserve">מספר קופונים </t>
  </si>
  <si>
    <t>קופון</t>
  </si>
  <si>
    <t>סעיף א</t>
  </si>
  <si>
    <t>תשואה רבעונית</t>
  </si>
  <si>
    <t>נחשב את סכום ההלוואה המוצע לחברה:</t>
  </si>
  <si>
    <t>נחשב את המחיר שתקבל החברה עבור האג"ח בהנפקה:</t>
  </si>
  <si>
    <t>בהנתן שהחברה מעוניינת לגייס לפחות מיליון ש"ח, הרי שהיא תבחר באפשרות הנפקת האג"ח.</t>
  </si>
  <si>
    <t>סעיף ב</t>
  </si>
  <si>
    <t>סעיף ג</t>
  </si>
  <si>
    <t>שיחזור בחינה יסודות המימון תשע"ט מועד א - 30.6.19</t>
  </si>
  <si>
    <t>א. תשלום קרן 50</t>
  </si>
  <si>
    <t>ב. תשלום ריבית 50</t>
  </si>
  <si>
    <t>ג. פירעון בתקופה 60</t>
  </si>
  <si>
    <t>ג1</t>
  </si>
  <si>
    <t>ג2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</si>
</sst>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₪&quot;\ #,##0.00;[Red]&quot;₪&quot;\ \-#,##0.00"/>
    <numFmt numFmtId="164" formatCode="&quot;$&quot;#,##0.00_);[Red]\(&quot;$&quot;#,##0.00\)"/>
    <numFmt numFmtId="166" formatCode="0.000%"/>
  </numFmts>
  <fonts count="15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1"/>
      <name val="David"/>
      <family val="2"/>
    </font>
    <font>
      <sz val="11"/>
      <name val="David"/>
      <family val="2"/>
    </font>
    <font>
      <b/>
      <sz val="11"/>
      <color theme="1"/>
      <name val="Arial"/>
      <family val="2"/>
      <scheme val="minor"/>
    </font>
    <font>
      <u/>
      <sz val="11"/>
      <color theme="1"/>
      <name val="Arial"/>
      <family val="2"/>
      <charset val="177"/>
      <scheme val="minor"/>
    </font>
    <font>
      <sz val="11"/>
      <color theme="0"/>
      <name val="Arial"/>
      <family val="2"/>
      <charset val="177"/>
      <scheme val="minor"/>
    </font>
    <font>
      <b/>
      <sz val="11"/>
      <color theme="0"/>
      <name val="Arial"/>
      <family val="2"/>
      <scheme val="minor"/>
    </font>
    <font>
      <b/>
      <u/>
      <sz val="11"/>
      <color theme="1"/>
      <name val="Arial"/>
      <family val="2"/>
      <scheme val="minor"/>
    </font>
    <font>
      <b/>
      <sz val="11"/>
      <color rgb="FF002060"/>
      <name val="Arial"/>
      <family val="2"/>
      <scheme val="minor"/>
    </font>
    <font>
      <b/>
      <sz val="12"/>
      <color rgb="FFC00000"/>
      <name val="David"/>
      <family val="2"/>
      <charset val="177"/>
    </font>
    <font>
      <sz val="12"/>
      <color rgb="FF000000"/>
      <name val="David"/>
      <family val="2"/>
    </font>
    <font>
      <b/>
      <sz val="11"/>
      <color rgb="FFC00000"/>
      <name val="David"/>
      <family val="2"/>
    </font>
    <font>
      <b/>
      <sz val="14"/>
      <color theme="1"/>
      <name val="Arial"/>
      <family val="2"/>
      <scheme val="minor"/>
    </font>
    <font>
      <b/>
      <sz val="14"/>
      <color theme="0"/>
      <name val="Arial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3">
    <xf numFmtId="0" fontId="0" fillId="0" borderId="0" xfId="0"/>
    <xf numFmtId="9" fontId="0" fillId="0" borderId="0" xfId="0" applyNumberFormat="1"/>
    <xf numFmtId="0" fontId="0" fillId="0" borderId="1" xfId="0" applyBorder="1"/>
    <xf numFmtId="8" fontId="0" fillId="0" borderId="0" xfId="0" applyNumberFormat="1"/>
    <xf numFmtId="10" fontId="0" fillId="0" borderId="0" xfId="0" applyNumberFormat="1"/>
    <xf numFmtId="166" fontId="0" fillId="0" borderId="0" xfId="0" applyNumberFormat="1"/>
    <xf numFmtId="10" fontId="0" fillId="0" borderId="0" xfId="1" applyNumberFormat="1" applyFont="1"/>
    <xf numFmtId="164" fontId="0" fillId="0" borderId="0" xfId="0" applyNumberFormat="1"/>
    <xf numFmtId="3" fontId="0" fillId="0" borderId="0" xfId="0" applyNumberFormat="1"/>
    <xf numFmtId="10" fontId="0" fillId="0" borderId="1" xfId="0" applyNumberFormat="1" applyBorder="1"/>
    <xf numFmtId="1" fontId="0" fillId="0" borderId="0" xfId="0" applyNumberFormat="1"/>
    <xf numFmtId="40" fontId="0" fillId="0" borderId="0" xfId="0" applyNumberFormat="1"/>
    <xf numFmtId="0" fontId="5" fillId="0" borderId="0" xfId="0" applyFont="1"/>
    <xf numFmtId="0" fontId="3" fillId="0" borderId="0" xfId="0" applyFont="1" applyFill="1" applyBorder="1" applyAlignment="1">
      <alignment horizontal="center" vertical="center" wrapText="1" readingOrder="2"/>
    </xf>
    <xf numFmtId="0" fontId="3" fillId="0" borderId="0" xfId="0" applyFont="1" applyBorder="1" applyAlignment="1">
      <alignment horizontal="center" vertical="center" wrapText="1" readingOrder="2"/>
    </xf>
    <xf numFmtId="3" fontId="3" fillId="0" borderId="0" xfId="0" applyNumberFormat="1" applyFont="1" applyBorder="1" applyAlignment="1">
      <alignment horizontal="center" vertical="center" wrapText="1" readingOrder="2"/>
    </xf>
    <xf numFmtId="4" fontId="3" fillId="0" borderId="0" xfId="0" applyNumberFormat="1" applyFont="1" applyBorder="1" applyAlignment="1">
      <alignment horizontal="center" vertical="center" wrapText="1" readingOrder="2"/>
    </xf>
    <xf numFmtId="3" fontId="0" fillId="0" borderId="0" xfId="0" applyNumberFormat="1" applyAlignment="1">
      <alignment horizontal="center"/>
    </xf>
    <xf numFmtId="0" fontId="2" fillId="0" borderId="0" xfId="0" applyFont="1" applyBorder="1" applyAlignment="1">
      <alignment horizontal="center" vertical="center" wrapText="1" readingOrder="2"/>
    </xf>
    <xf numFmtId="3" fontId="2" fillId="0" borderId="0" xfId="0" applyNumberFormat="1" applyFont="1" applyBorder="1" applyAlignment="1">
      <alignment horizontal="center" vertical="center" wrapText="1" readingOrder="2"/>
    </xf>
    <xf numFmtId="0" fontId="0" fillId="2" borderId="0" xfId="0" applyFill="1"/>
    <xf numFmtId="10" fontId="0" fillId="2" borderId="1" xfId="0" applyNumberFormat="1" applyFill="1" applyBorder="1"/>
    <xf numFmtId="10" fontId="0" fillId="2" borderId="0" xfId="0" applyNumberFormat="1" applyFill="1"/>
    <xf numFmtId="8" fontId="0" fillId="2" borderId="0" xfId="0" applyNumberFormat="1" applyFill="1"/>
    <xf numFmtId="40" fontId="4" fillId="2" borderId="0" xfId="0" applyNumberFormat="1" applyFont="1" applyFill="1"/>
    <xf numFmtId="0" fontId="2" fillId="0" borderId="1" xfId="0" applyFont="1" applyBorder="1" applyAlignment="1">
      <alignment horizontal="center" vertical="center" wrapText="1" readingOrder="2"/>
    </xf>
    <xf numFmtId="0" fontId="3" fillId="0" borderId="1" xfId="0" applyFont="1" applyBorder="1" applyAlignment="1">
      <alignment horizontal="center" vertical="center" wrapText="1" readingOrder="2"/>
    </xf>
    <xf numFmtId="3" fontId="3" fillId="0" borderId="1" xfId="0" applyNumberFormat="1" applyFont="1" applyBorder="1" applyAlignment="1">
      <alignment horizontal="center" vertical="center" wrapText="1" readingOrder="2"/>
    </xf>
    <xf numFmtId="3" fontId="4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10" fontId="0" fillId="0" borderId="0" xfId="0" applyNumberFormat="1" applyAlignment="1">
      <alignment horizontal="center"/>
    </xf>
    <xf numFmtId="10" fontId="0" fillId="2" borderId="0" xfId="0" applyNumberFormat="1" applyFill="1" applyAlignment="1">
      <alignment horizontal="center"/>
    </xf>
    <xf numFmtId="0" fontId="0" fillId="3" borderId="0" xfId="0" applyFill="1" applyAlignment="1">
      <alignment horizontal="center"/>
    </xf>
    <xf numFmtId="10" fontId="0" fillId="3" borderId="0" xfId="0" applyNumberFormat="1" applyFill="1" applyAlignment="1">
      <alignment horizontal="center"/>
    </xf>
    <xf numFmtId="8" fontId="0" fillId="3" borderId="0" xfId="0" applyNumberFormat="1" applyFill="1"/>
    <xf numFmtId="0" fontId="0" fillId="3" borderId="0" xfId="0" applyFill="1"/>
    <xf numFmtId="2" fontId="0" fillId="0" borderId="0" xfId="0" applyNumberFormat="1"/>
    <xf numFmtId="0" fontId="7" fillId="3" borderId="0" xfId="0" applyFont="1" applyFill="1" applyAlignment="1">
      <alignment horizontal="center"/>
    </xf>
    <xf numFmtId="166" fontId="0" fillId="2" borderId="0" xfId="0" applyNumberFormat="1" applyFill="1"/>
    <xf numFmtId="0" fontId="8" fillId="0" borderId="4" xfId="0" applyFont="1" applyBorder="1"/>
    <xf numFmtId="0" fontId="0" fillId="0" borderId="4" xfId="0" applyBorder="1" applyAlignment="1">
      <alignment horizontal="center"/>
    </xf>
    <xf numFmtId="0" fontId="0" fillId="0" borderId="4" xfId="0" applyBorder="1"/>
    <xf numFmtId="0" fontId="9" fillId="3" borderId="2" xfId="0" applyFont="1" applyFill="1" applyBorder="1" applyAlignment="1">
      <alignment horizontal="center"/>
    </xf>
    <xf numFmtId="0" fontId="9" fillId="3" borderId="2" xfId="0" applyFont="1" applyFill="1" applyBorder="1" applyAlignment="1">
      <alignment horizontal="right"/>
    </xf>
    <xf numFmtId="0" fontId="4" fillId="0" borderId="2" xfId="0" applyFont="1" applyBorder="1" applyAlignment="1">
      <alignment horizontal="center"/>
    </xf>
    <xf numFmtId="8" fontId="0" fillId="0" borderId="2" xfId="0" applyNumberFormat="1" applyBorder="1" applyAlignment="1">
      <alignment horizontal="center"/>
    </xf>
    <xf numFmtId="8" fontId="0" fillId="2" borderId="2" xfId="0" applyNumberFormat="1" applyFill="1" applyBorder="1" applyAlignment="1">
      <alignment horizontal="center"/>
    </xf>
    <xf numFmtId="0" fontId="9" fillId="3" borderId="2" xfId="0" applyFont="1" applyFill="1" applyBorder="1"/>
    <xf numFmtId="0" fontId="4" fillId="0" borderId="2" xfId="0" applyFont="1" applyBorder="1"/>
    <xf numFmtId="8" fontId="0" fillId="0" borderId="2" xfId="0" applyNumberFormat="1" applyBorder="1"/>
    <xf numFmtId="8" fontId="0" fillId="5" borderId="2" xfId="0" applyNumberFormat="1" applyFill="1" applyBorder="1" applyAlignment="1">
      <alignment horizontal="center"/>
    </xf>
    <xf numFmtId="0" fontId="0" fillId="4" borderId="0" xfId="0" applyFill="1" applyAlignment="1">
      <alignment horizontal="center"/>
    </xf>
    <xf numFmtId="8" fontId="0" fillId="0" borderId="0" xfId="0" applyNumberFormat="1" applyAlignment="1">
      <alignment horizontal="center"/>
    </xf>
    <xf numFmtId="8" fontId="6" fillId="6" borderId="0" xfId="0" applyNumberFormat="1" applyFont="1" applyFill="1"/>
    <xf numFmtId="0" fontId="6" fillId="6" borderId="0" xfId="0" applyFont="1" applyFill="1"/>
    <xf numFmtId="8" fontId="6" fillId="6" borderId="0" xfId="0" applyNumberFormat="1" applyFont="1" applyFill="1" applyAlignment="1">
      <alignment horizontal="center"/>
    </xf>
    <xf numFmtId="0" fontId="0" fillId="0" borderId="0" xfId="0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0" fontId="11" fillId="2" borderId="5" xfId="0" applyFont="1" applyFill="1" applyBorder="1" applyAlignment="1">
      <alignment horizontal="center"/>
    </xf>
    <xf numFmtId="8" fontId="10" fillId="0" borderId="5" xfId="0" applyNumberFormat="1" applyFont="1" applyBorder="1" applyAlignment="1">
      <alignment horizontal="center"/>
    </xf>
    <xf numFmtId="10" fontId="11" fillId="0" borderId="5" xfId="0" applyNumberFormat="1" applyFont="1" applyBorder="1" applyAlignment="1">
      <alignment horizontal="center"/>
    </xf>
    <xf numFmtId="0" fontId="0" fillId="4" borderId="0" xfId="0" applyFill="1" applyAlignment="1">
      <alignment horizontal="left"/>
    </xf>
    <xf numFmtId="8" fontId="4" fillId="0" borderId="0" xfId="0" applyNumberFormat="1" applyFont="1"/>
    <xf numFmtId="0" fontId="4" fillId="0" borderId="0" xfId="0" applyFont="1"/>
    <xf numFmtId="0" fontId="0" fillId="0" borderId="6" xfId="0" applyBorder="1"/>
    <xf numFmtId="0" fontId="5" fillId="2" borderId="0" xfId="0" applyFont="1" applyFill="1"/>
    <xf numFmtId="0" fontId="12" fillId="3" borderId="1" xfId="0" applyFont="1" applyFill="1" applyBorder="1" applyAlignment="1">
      <alignment horizontal="center" vertical="center" wrapText="1" readingOrder="2"/>
    </xf>
    <xf numFmtId="9" fontId="0" fillId="2" borderId="0" xfId="0" applyNumberFormat="1" applyFill="1"/>
    <xf numFmtId="8" fontId="7" fillId="3" borderId="0" xfId="0" applyNumberFormat="1" applyFont="1" applyFill="1"/>
    <xf numFmtId="0" fontId="7" fillId="3" borderId="0" xfId="0" applyFont="1" applyFill="1"/>
    <xf numFmtId="0" fontId="0" fillId="0" borderId="0" xfId="0" applyAlignment="1">
      <alignment horizontal="right"/>
    </xf>
    <xf numFmtId="0" fontId="8" fillId="0" borderId="0" xfId="0" applyFont="1"/>
    <xf numFmtId="40" fontId="0" fillId="2" borderId="2" xfId="0" applyNumberFormat="1" applyFill="1" applyBorder="1"/>
    <xf numFmtId="0" fontId="0" fillId="2" borderId="7" xfId="0" applyFill="1" applyBorder="1"/>
    <xf numFmtId="0" fontId="0" fillId="2" borderId="8" xfId="0" applyFill="1" applyBorder="1"/>
    <xf numFmtId="0" fontId="0" fillId="2" borderId="3" xfId="0" applyFill="1" applyBorder="1"/>
    <xf numFmtId="0" fontId="13" fillId="2" borderId="0" xfId="0" applyFont="1" applyFill="1"/>
    <xf numFmtId="0" fontId="14" fillId="6" borderId="0" xfId="0" applyFont="1" applyFill="1"/>
    <xf numFmtId="0" fontId="0" fillId="0" borderId="0" xfId="0" applyNumberFormat="1" applyAlignment="1">
      <alignment horizontal="center"/>
    </xf>
    <xf numFmtId="40" fontId="0" fillId="0" borderId="0" xfId="0" applyNumberFormat="1" applyAlignment="1">
      <alignment horizontal="center"/>
    </xf>
    <xf numFmtId="8" fontId="0" fillId="0" borderId="6" xfId="0" applyNumberFormat="1" applyBorder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487680</xdr:colOff>
      <xdr:row>0</xdr:row>
      <xdr:rowOff>0</xdr:rowOff>
    </xdr:from>
    <xdr:to>
      <xdr:col>15</xdr:col>
      <xdr:colOff>426720</xdr:colOff>
      <xdr:row>11</xdr:row>
      <xdr:rowOff>60960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91F2A15-D4E1-4EA1-BA76-20C32B5046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74659280" y="0"/>
          <a:ext cx="7955280" cy="2034540"/>
        </a:xfrm>
        <a:prstGeom prst="rect">
          <a:avLst/>
        </a:prstGeom>
        <a:solidFill>
          <a:srgbClr val="FFFF00"/>
        </a:solidFill>
      </xdr:spPr>
    </xdr:pic>
    <xdr:clientData/>
  </xdr:twoCellAnchor>
  <xdr:twoCellAnchor editAs="oneCell">
    <xdr:from>
      <xdr:col>6</xdr:col>
      <xdr:colOff>403860</xdr:colOff>
      <xdr:row>21</xdr:row>
      <xdr:rowOff>83820</xdr:rowOff>
    </xdr:from>
    <xdr:to>
      <xdr:col>15</xdr:col>
      <xdr:colOff>449580</xdr:colOff>
      <xdr:row>37</xdr:row>
      <xdr:rowOff>38100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821349-4C02-49D9-AF27-D42511A335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74636420" y="5516880"/>
          <a:ext cx="8061960" cy="27584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518160</xdr:colOff>
      <xdr:row>50</xdr:row>
      <xdr:rowOff>0</xdr:rowOff>
    </xdr:from>
    <xdr:to>
      <xdr:col>16</xdr:col>
      <xdr:colOff>160020</xdr:colOff>
      <xdr:row>64</xdr:row>
      <xdr:rowOff>144780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80B3289B-1222-4225-819C-8B7B9054DE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74255420" y="10515600"/>
          <a:ext cx="8328660" cy="2598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548640</xdr:colOff>
      <xdr:row>83</xdr:row>
      <xdr:rowOff>22860</xdr:rowOff>
    </xdr:from>
    <xdr:to>
      <xdr:col>15</xdr:col>
      <xdr:colOff>632460</xdr:colOff>
      <xdr:row>98</xdr:row>
      <xdr:rowOff>60960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2C6DE5AC-94A4-4BD0-BC52-7229AA2B63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74453540" y="16322040"/>
          <a:ext cx="8100060" cy="2667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335280</xdr:colOff>
      <xdr:row>121</xdr:row>
      <xdr:rowOff>160020</xdr:rowOff>
    </xdr:from>
    <xdr:to>
      <xdr:col>15</xdr:col>
      <xdr:colOff>419100</xdr:colOff>
      <xdr:row>135</xdr:row>
      <xdr:rowOff>129540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EF45381C-FBDA-4A82-B598-B513489FE2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74666900" y="23294340"/>
          <a:ext cx="8100060" cy="24841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182880</xdr:colOff>
      <xdr:row>142</xdr:row>
      <xdr:rowOff>137160</xdr:rowOff>
    </xdr:from>
    <xdr:to>
      <xdr:col>15</xdr:col>
      <xdr:colOff>228600</xdr:colOff>
      <xdr:row>162</xdr:row>
      <xdr:rowOff>45720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45852BE7-6DFF-4FE4-85B8-E328420440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0298080" y="26890980"/>
          <a:ext cx="8061960" cy="35661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487680</xdr:colOff>
      <xdr:row>172</xdr:row>
      <xdr:rowOff>0</xdr:rowOff>
    </xdr:from>
    <xdr:to>
      <xdr:col>15</xdr:col>
      <xdr:colOff>236220</xdr:colOff>
      <xdr:row>189</xdr:row>
      <xdr:rowOff>91440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B7193B77-450E-4B07-BC2C-468444C376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0656220" y="32240220"/>
          <a:ext cx="7764780" cy="3200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182880</xdr:colOff>
      <xdr:row>235</xdr:row>
      <xdr:rowOff>53340</xdr:rowOff>
    </xdr:from>
    <xdr:to>
      <xdr:col>16</xdr:col>
      <xdr:colOff>68580</xdr:colOff>
      <xdr:row>247</xdr:row>
      <xdr:rowOff>76200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4ED2CFAE-3046-4E2E-A707-5294B4A3B6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0153300" y="44615100"/>
          <a:ext cx="7901940" cy="2217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655320</xdr:colOff>
      <xdr:row>259</xdr:row>
      <xdr:rowOff>160020</xdr:rowOff>
    </xdr:from>
    <xdr:to>
      <xdr:col>16</xdr:col>
      <xdr:colOff>7620</xdr:colOff>
      <xdr:row>273</xdr:row>
      <xdr:rowOff>121920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2A26DEB-9B37-477D-8ACD-0E0E6C4C9E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0214260" y="49034700"/>
          <a:ext cx="8039100" cy="24155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480060</xdr:colOff>
      <xdr:row>299</xdr:row>
      <xdr:rowOff>68580</xdr:rowOff>
    </xdr:from>
    <xdr:to>
      <xdr:col>16</xdr:col>
      <xdr:colOff>114300</xdr:colOff>
      <xdr:row>314</xdr:row>
      <xdr:rowOff>30480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9D67A16A-72D8-41DD-B452-F943F8BFD1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0107580" y="55778400"/>
          <a:ext cx="8321040" cy="2590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358140</xdr:colOff>
      <xdr:row>337</xdr:row>
      <xdr:rowOff>68580</xdr:rowOff>
    </xdr:from>
    <xdr:to>
      <xdr:col>15</xdr:col>
      <xdr:colOff>274320</xdr:colOff>
      <xdr:row>351</xdr:row>
      <xdr:rowOff>83820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560EF22C-F391-49E2-86D8-75D384D3BE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0618120" y="62788800"/>
          <a:ext cx="7932420" cy="24688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571500</xdr:colOff>
      <xdr:row>374</xdr:row>
      <xdr:rowOff>160020</xdr:rowOff>
    </xdr:from>
    <xdr:to>
      <xdr:col>15</xdr:col>
      <xdr:colOff>510540</xdr:colOff>
      <xdr:row>405</xdr:row>
      <xdr:rowOff>99060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75836386-8E38-47BA-851C-BDBF8851A7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0381900" y="69014340"/>
          <a:ext cx="7955280" cy="5372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350520</xdr:colOff>
      <xdr:row>431</xdr:row>
      <xdr:rowOff>45720</xdr:rowOff>
    </xdr:from>
    <xdr:to>
      <xdr:col>15</xdr:col>
      <xdr:colOff>510540</xdr:colOff>
      <xdr:row>453</xdr:row>
      <xdr:rowOff>76200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91120CBD-040E-4A74-B48D-563E04BCF2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0381900" y="78889860"/>
          <a:ext cx="8176260" cy="388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617220</xdr:colOff>
      <xdr:row>474</xdr:row>
      <xdr:rowOff>68580</xdr:rowOff>
    </xdr:from>
    <xdr:to>
      <xdr:col>15</xdr:col>
      <xdr:colOff>251460</xdr:colOff>
      <xdr:row>486</xdr:row>
      <xdr:rowOff>137160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A206FA6A-7C05-4275-BEAF-C6E7704B15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0640980" y="86448900"/>
          <a:ext cx="7650480" cy="2171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480060</xdr:colOff>
      <xdr:row>503</xdr:row>
      <xdr:rowOff>160020</xdr:rowOff>
    </xdr:from>
    <xdr:to>
      <xdr:col>15</xdr:col>
      <xdr:colOff>548640</xdr:colOff>
      <xdr:row>516</xdr:row>
      <xdr:rowOff>91440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4E380533-C341-4557-8523-38673B78D2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0343800" y="91622880"/>
          <a:ext cx="8084820" cy="2209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632460</xdr:colOff>
      <xdr:row>0</xdr:row>
      <xdr:rowOff>144780</xdr:rowOff>
    </xdr:from>
    <xdr:to>
      <xdr:col>8</xdr:col>
      <xdr:colOff>617220</xdr:colOff>
      <xdr:row>39</xdr:row>
      <xdr:rowOff>30480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C68EE40-D2FA-4A6C-9DFE-2E91DBD926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70971200" y="144780"/>
          <a:ext cx="6332220" cy="6819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D22190-B8C8-41B1-AA46-67C7914F6601}">
  <sheetPr>
    <tabColor rgb="FFFFFF00"/>
  </sheetPr>
  <dimension ref="C1:AE530"/>
  <sheetViews>
    <sheetView rightToLeft="1" tabSelected="1" topLeftCell="B1" zoomScaleNormal="100" workbookViewId="0">
      <selection activeCell="C17" sqref="C17"/>
    </sheetView>
  </sheetViews>
  <sheetFormatPr defaultRowHeight="13.8" x14ac:dyDescent="0.25"/>
  <cols>
    <col min="3" max="3" width="11.19921875" customWidth="1"/>
    <col min="4" max="4" width="23.8984375" customWidth="1"/>
    <col min="5" max="5" width="9.69921875" customWidth="1"/>
    <col min="8" max="8" width="11" bestFit="1" customWidth="1"/>
    <col min="9" max="9" width="12" bestFit="1" customWidth="1"/>
    <col min="10" max="10" width="11" bestFit="1" customWidth="1"/>
    <col min="11" max="11" width="10" bestFit="1" customWidth="1"/>
    <col min="12" max="12" width="20.796875" bestFit="1" customWidth="1"/>
    <col min="13" max="13" width="10" bestFit="1" customWidth="1"/>
    <col min="14" max="14" width="9" bestFit="1" customWidth="1"/>
    <col min="15" max="15" width="12.59765625" bestFit="1" customWidth="1"/>
    <col min="17" max="17" width="9.09765625" bestFit="1" customWidth="1"/>
    <col min="20" max="20" width="20.69921875" bestFit="1" customWidth="1"/>
    <col min="21" max="21" width="12.296875" bestFit="1" customWidth="1"/>
    <col min="22" max="22" width="14.09765625" bestFit="1" customWidth="1"/>
    <col min="23" max="23" width="11.796875" bestFit="1" customWidth="1"/>
    <col min="24" max="24" width="19.59765625" bestFit="1" customWidth="1"/>
    <col min="25" max="25" width="4.8984375" customWidth="1"/>
    <col min="26" max="26" width="10.19921875" bestFit="1" customWidth="1"/>
    <col min="27" max="27" width="20.69921875" bestFit="1" customWidth="1"/>
    <col min="28" max="28" width="12.296875" bestFit="1" customWidth="1"/>
    <col min="29" max="29" width="14.09765625" bestFit="1" customWidth="1"/>
    <col min="30" max="30" width="11" bestFit="1" customWidth="1"/>
    <col min="31" max="31" width="19.59765625" bestFit="1" customWidth="1"/>
  </cols>
  <sheetData>
    <row r="1" spans="3:19" x14ac:dyDescent="0.25">
      <c r="J1" s="31" t="s">
        <v>56</v>
      </c>
      <c r="K1" s="31"/>
      <c r="L1" s="31"/>
      <c r="M1" s="31"/>
      <c r="N1" s="31"/>
    </row>
    <row r="2" spans="3:19" ht="17.399999999999999" x14ac:dyDescent="0.3">
      <c r="C2" s="78" t="s">
        <v>119</v>
      </c>
      <c r="D2" s="20"/>
      <c r="E2" s="20"/>
      <c r="F2" s="20"/>
    </row>
    <row r="3" spans="3:19" x14ac:dyDescent="0.25">
      <c r="H3" s="2" t="s">
        <v>1</v>
      </c>
      <c r="I3" s="2" t="s">
        <v>2</v>
      </c>
      <c r="J3" s="2" t="s">
        <v>3</v>
      </c>
      <c r="K3" s="2" t="s">
        <v>4</v>
      </c>
      <c r="L3" s="2" t="s">
        <v>5</v>
      </c>
    </row>
    <row r="4" spans="3:19" x14ac:dyDescent="0.25">
      <c r="H4" s="21">
        <f>((1+(0.075)/12)^12)-1</f>
        <v>7.7632598856030688E-2</v>
      </c>
      <c r="I4" s="9">
        <v>7.2499999999999995E-2</v>
      </c>
      <c r="J4" s="9">
        <f>((1+0.035)^2)-1</f>
        <v>7.1224999999999872E-2</v>
      </c>
      <c r="K4" s="9">
        <f>((1+0.0178)^4)-1</f>
        <v>7.3123699395585717E-2</v>
      </c>
      <c r="L4" s="9">
        <f>((1+0.073/360)^360)-1</f>
        <v>7.5722576120295537E-2</v>
      </c>
    </row>
    <row r="14" spans="3:19" x14ac:dyDescent="0.25">
      <c r="I14" s="30"/>
      <c r="J14" s="30"/>
      <c r="K14" s="30"/>
      <c r="L14" s="30"/>
      <c r="M14" s="30"/>
      <c r="N14" s="30">
        <v>5</v>
      </c>
      <c r="O14" s="30">
        <v>4</v>
      </c>
      <c r="P14" s="30">
        <v>3</v>
      </c>
      <c r="Q14" s="30">
        <v>2</v>
      </c>
      <c r="R14" s="34">
        <v>1</v>
      </c>
      <c r="S14" s="30"/>
    </row>
    <row r="15" spans="3:19" x14ac:dyDescent="0.25">
      <c r="I15" s="30"/>
      <c r="J15" s="30"/>
      <c r="K15" s="30"/>
      <c r="L15" s="30"/>
      <c r="M15" s="30"/>
      <c r="N15" s="33">
        <f>EFFECT(7.3%,360)</f>
        <v>7.5722576120295537E-2</v>
      </c>
      <c r="O15" s="32">
        <v>1.78E-2</v>
      </c>
      <c r="P15" s="32">
        <v>3.5000000000000003E-2</v>
      </c>
      <c r="Q15" s="33">
        <v>7.2499999999999995E-2</v>
      </c>
      <c r="R15" s="35">
        <f>EFFECT(7.5%,12)</f>
        <v>7.7632598856030688E-2</v>
      </c>
      <c r="S15" s="30"/>
    </row>
    <row r="16" spans="3:19" x14ac:dyDescent="0.25">
      <c r="I16" s="30"/>
      <c r="J16" s="30"/>
      <c r="K16" s="30"/>
      <c r="L16" s="30"/>
      <c r="M16" s="30"/>
      <c r="N16" s="30"/>
      <c r="O16" s="33">
        <f>(1+O15)^4-1</f>
        <v>7.3123699395585717E-2</v>
      </c>
      <c r="P16" s="33">
        <f>(1+P15)^2-1</f>
        <v>7.1224999999999872E-2</v>
      </c>
      <c r="Q16" s="30"/>
      <c r="R16" s="30"/>
      <c r="S16" s="30"/>
    </row>
    <row r="17" spans="9:19" x14ac:dyDescent="0.25"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</row>
    <row r="18" spans="9:19" x14ac:dyDescent="0.25"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</row>
    <row r="23" spans="9:19" x14ac:dyDescent="0.25">
      <c r="J23" s="31" t="s">
        <v>57</v>
      </c>
      <c r="K23" s="31"/>
      <c r="L23" s="31"/>
      <c r="M23" s="31"/>
      <c r="N23" s="31"/>
    </row>
    <row r="39" spans="15:18" x14ac:dyDescent="0.25">
      <c r="O39" s="4">
        <f>(1+Q39)^(1/12)-1</f>
        <v>4.8675505653430484E-3</v>
      </c>
      <c r="P39" t="s">
        <v>16</v>
      </c>
      <c r="Q39" s="4">
        <v>0.06</v>
      </c>
      <c r="R39" t="s">
        <v>16</v>
      </c>
    </row>
    <row r="40" spans="15:18" x14ac:dyDescent="0.25">
      <c r="Q40" s="37">
        <v>46</v>
      </c>
      <c r="R40" t="s">
        <v>12</v>
      </c>
    </row>
    <row r="41" spans="15:18" x14ac:dyDescent="0.25">
      <c r="O41" s="3">
        <f>FV(O39,48,,-Q41)</f>
        <v>6312.3848000000171</v>
      </c>
      <c r="P41" t="s">
        <v>61</v>
      </c>
      <c r="Q41">
        <v>5000</v>
      </c>
      <c r="R41" t="s">
        <v>13</v>
      </c>
    </row>
    <row r="42" spans="15:18" x14ac:dyDescent="0.25">
      <c r="Q42" s="23">
        <f>PMT(O39,Q40,,O43)</f>
        <v>-849.66943039656371</v>
      </c>
      <c r="R42" t="s">
        <v>60</v>
      </c>
    </row>
    <row r="43" spans="15:18" x14ac:dyDescent="0.25">
      <c r="O43" s="36">
        <f>Q43-O41</f>
        <v>43687.615199999986</v>
      </c>
      <c r="P43" t="s">
        <v>61</v>
      </c>
      <c r="Q43">
        <v>50000</v>
      </c>
      <c r="R43" t="s">
        <v>10</v>
      </c>
    </row>
    <row r="51" spans="10:14" x14ac:dyDescent="0.25">
      <c r="J51" s="31" t="s">
        <v>58</v>
      </c>
      <c r="K51" s="31"/>
      <c r="L51" s="31"/>
      <c r="M51" s="31"/>
      <c r="N51" s="31"/>
    </row>
    <row r="66" spans="10:14" x14ac:dyDescent="0.25">
      <c r="J66">
        <v>0</v>
      </c>
      <c r="K66">
        <v>-100</v>
      </c>
    </row>
    <row r="67" spans="10:14" x14ac:dyDescent="0.25">
      <c r="J67">
        <v>1</v>
      </c>
      <c r="K67">
        <v>30</v>
      </c>
    </row>
    <row r="68" spans="10:14" x14ac:dyDescent="0.25">
      <c r="J68">
        <v>2</v>
      </c>
      <c r="K68">
        <v>10</v>
      </c>
    </row>
    <row r="69" spans="10:14" x14ac:dyDescent="0.25">
      <c r="J69">
        <v>3</v>
      </c>
      <c r="K69">
        <v>10</v>
      </c>
    </row>
    <row r="70" spans="10:14" x14ac:dyDescent="0.25">
      <c r="J70">
        <v>4</v>
      </c>
      <c r="K70">
        <v>40</v>
      </c>
    </row>
    <row r="71" spans="10:14" x14ac:dyDescent="0.25">
      <c r="J71">
        <v>5</v>
      </c>
      <c r="K71">
        <v>5</v>
      </c>
    </row>
    <row r="72" spans="10:14" x14ac:dyDescent="0.25">
      <c r="J72">
        <v>6</v>
      </c>
      <c r="K72">
        <v>5</v>
      </c>
    </row>
    <row r="74" spans="10:14" x14ac:dyDescent="0.25">
      <c r="K74" s="22">
        <f>IRR(K66:K72)</f>
        <v>2.759126260798439E-12</v>
      </c>
      <c r="L74" s="20" t="s">
        <v>9</v>
      </c>
      <c r="N74" s="4">
        <v>0.1</v>
      </c>
    </row>
    <row r="75" spans="10:14" x14ac:dyDescent="0.25">
      <c r="L75" s="38">
        <f>NPV(N74,K67:K72)-100</f>
        <v>-23.702147428172111</v>
      </c>
    </row>
    <row r="77" spans="10:14" x14ac:dyDescent="0.25">
      <c r="K77" t="s">
        <v>62</v>
      </c>
    </row>
    <row r="100" spans="8:15" x14ac:dyDescent="0.25">
      <c r="H100" s="39" t="s">
        <v>39</v>
      </c>
      <c r="I100" s="39"/>
      <c r="M100" s="39" t="s">
        <v>38</v>
      </c>
      <c r="N100" s="39"/>
    </row>
    <row r="101" spans="8:15" x14ac:dyDescent="0.25">
      <c r="H101">
        <v>1900</v>
      </c>
      <c r="I101" t="s">
        <v>10</v>
      </c>
      <c r="M101">
        <v>1000</v>
      </c>
      <c r="N101" t="s">
        <v>10</v>
      </c>
    </row>
    <row r="102" spans="8:15" x14ac:dyDescent="0.25">
      <c r="H102">
        <v>4</v>
      </c>
      <c r="I102" t="s">
        <v>15</v>
      </c>
      <c r="M102">
        <v>4</v>
      </c>
      <c r="N102" t="s">
        <v>15</v>
      </c>
    </row>
    <row r="103" spans="8:15" x14ac:dyDescent="0.25">
      <c r="H103">
        <f>3*4</f>
        <v>12</v>
      </c>
      <c r="I103" t="s">
        <v>12</v>
      </c>
      <c r="J103" t="s">
        <v>55</v>
      </c>
      <c r="L103" s="7"/>
      <c r="M103">
        <f>5*4</f>
        <v>20</v>
      </c>
      <c r="N103" t="s">
        <v>12</v>
      </c>
    </row>
    <row r="104" spans="8:15" x14ac:dyDescent="0.25">
      <c r="H104">
        <v>1900</v>
      </c>
      <c r="I104" t="s">
        <v>13</v>
      </c>
      <c r="M104">
        <f>M101*(1-0.1)</f>
        <v>900</v>
      </c>
      <c r="N104" t="s">
        <v>13</v>
      </c>
    </row>
    <row r="105" spans="8:15" x14ac:dyDescent="0.25">
      <c r="M105" s="1">
        <v>0.09</v>
      </c>
      <c r="N105" t="s">
        <v>14</v>
      </c>
    </row>
    <row r="106" spans="8:15" x14ac:dyDescent="0.25">
      <c r="M106">
        <f>M101*M105/M102</f>
        <v>22.5</v>
      </c>
      <c r="N106" t="s">
        <v>11</v>
      </c>
    </row>
    <row r="107" spans="8:15" x14ac:dyDescent="0.25">
      <c r="I107" s="22">
        <f>M107*4</f>
        <v>0.116680413370159</v>
      </c>
      <c r="M107" s="40">
        <f>RATE(M103,M106,-M104,M101)</f>
        <v>2.9170103342539749E-2</v>
      </c>
      <c r="N107" t="s">
        <v>16</v>
      </c>
      <c r="O107" t="s">
        <v>40</v>
      </c>
    </row>
    <row r="108" spans="8:15" x14ac:dyDescent="0.25">
      <c r="N108" s="4"/>
    </row>
    <row r="111" spans="8:15" x14ac:dyDescent="0.25">
      <c r="N111" s="11"/>
    </row>
    <row r="123" spans="19:31" x14ac:dyDescent="0.25">
      <c r="T123" t="s">
        <v>76</v>
      </c>
      <c r="Z123" t="s">
        <v>75</v>
      </c>
    </row>
    <row r="124" spans="19:31" x14ac:dyDescent="0.25">
      <c r="S124" s="41" t="s">
        <v>63</v>
      </c>
      <c r="Z124" s="41" t="s">
        <v>63</v>
      </c>
    </row>
    <row r="125" spans="19:31" x14ac:dyDescent="0.25">
      <c r="S125" s="42" t="s">
        <v>64</v>
      </c>
      <c r="T125" s="17">
        <v>6000000</v>
      </c>
      <c r="U125" s="30" t="s">
        <v>13</v>
      </c>
      <c r="X125" s="8"/>
      <c r="Z125" s="43" t="s">
        <v>64</v>
      </c>
      <c r="AA125" s="8">
        <v>3000000</v>
      </c>
      <c r="AB125" t="s">
        <v>13</v>
      </c>
      <c r="AD125" s="4">
        <v>0.04</v>
      </c>
      <c r="AE125" s="8"/>
    </row>
    <row r="126" spans="19:31" x14ac:dyDescent="0.25">
      <c r="S126" s="42" t="s">
        <v>43</v>
      </c>
      <c r="T126" s="30">
        <f>10*12</f>
        <v>120</v>
      </c>
      <c r="U126" s="30" t="s">
        <v>0</v>
      </c>
      <c r="Z126" s="43" t="s">
        <v>74</v>
      </c>
      <c r="AA126">
        <f>5*12</f>
        <v>60</v>
      </c>
      <c r="AB126" t="s">
        <v>0</v>
      </c>
      <c r="AD126">
        <v>12</v>
      </c>
    </row>
    <row r="127" spans="19:31" x14ac:dyDescent="0.25">
      <c r="S127" s="42" t="s">
        <v>65</v>
      </c>
      <c r="T127" s="32">
        <f>(1+W127)^(1/12)-1</f>
        <v>3.2737397821989145E-3</v>
      </c>
      <c r="U127" s="30" t="s">
        <v>7</v>
      </c>
      <c r="W127" s="32">
        <v>0.04</v>
      </c>
      <c r="X127" s="4" t="s">
        <v>73</v>
      </c>
      <c r="Z127" s="43" t="s">
        <v>65</v>
      </c>
      <c r="AA127" s="4">
        <f>AD125/AD126</f>
        <v>3.3333333333333335E-3</v>
      </c>
      <c r="AB127" t="s">
        <v>7</v>
      </c>
      <c r="AE127" s="4"/>
    </row>
    <row r="128" spans="19:31" ht="14.4" thickBot="1" x14ac:dyDescent="0.3">
      <c r="S128" s="43"/>
      <c r="T128" s="30">
        <f>T125/T126</f>
        <v>50000</v>
      </c>
      <c r="U128" s="30" t="s">
        <v>66</v>
      </c>
      <c r="Z128" s="43"/>
      <c r="AA128" s="23">
        <f>PMT(AA127,AA126,-AA125,,)</f>
        <v>55249.566165799057</v>
      </c>
      <c r="AB128" t="s">
        <v>60</v>
      </c>
    </row>
    <row r="129" spans="19:31" ht="14.4" thickBot="1" x14ac:dyDescent="0.3">
      <c r="S129" s="44" t="s">
        <v>67</v>
      </c>
      <c r="T129" s="44" t="s">
        <v>68</v>
      </c>
      <c r="U129" s="44" t="s">
        <v>69</v>
      </c>
      <c r="V129" s="44" t="s">
        <v>70</v>
      </c>
      <c r="W129" s="44" t="s">
        <v>71</v>
      </c>
      <c r="X129" s="45" t="s">
        <v>72</v>
      </c>
      <c r="Z129" s="49" t="s">
        <v>67</v>
      </c>
      <c r="AA129" s="49" t="s">
        <v>68</v>
      </c>
      <c r="AB129" s="49" t="s">
        <v>69</v>
      </c>
      <c r="AC129" s="49" t="s">
        <v>70</v>
      </c>
      <c r="AD129" s="49" t="s">
        <v>71</v>
      </c>
      <c r="AE129" s="49" t="s">
        <v>72</v>
      </c>
    </row>
    <row r="130" spans="19:31" ht="14.4" thickBot="1" x14ac:dyDescent="0.3">
      <c r="S130" s="46">
        <v>1</v>
      </c>
      <c r="T130" s="47">
        <f>T125</f>
        <v>6000000</v>
      </c>
      <c r="U130" s="47">
        <f>$T$128</f>
        <v>50000</v>
      </c>
      <c r="V130" s="47">
        <f>$T$127*T130</f>
        <v>19642.438693193486</v>
      </c>
      <c r="W130" s="47">
        <f>V130+U130</f>
        <v>69642.438693193486</v>
      </c>
      <c r="X130" s="47">
        <f>T130-U130</f>
        <v>5950000</v>
      </c>
      <c r="Y130">
        <v>61</v>
      </c>
      <c r="Z130" s="50">
        <v>1</v>
      </c>
      <c r="AA130" s="51">
        <f>AA125</f>
        <v>3000000</v>
      </c>
      <c r="AB130" s="47">
        <f>AD130-AC130</f>
        <v>45249.566165799057</v>
      </c>
      <c r="AC130" s="47">
        <f>$AA$127*AA130</f>
        <v>10000</v>
      </c>
      <c r="AD130" s="52">
        <f>$AA$128</f>
        <v>55249.566165799057</v>
      </c>
      <c r="AE130" s="47">
        <f>AA130-AB130</f>
        <v>2954750.4338342007</v>
      </c>
    </row>
    <row r="131" spans="19:31" ht="14.4" thickBot="1" x14ac:dyDescent="0.3">
      <c r="S131" s="46">
        <v>2</v>
      </c>
      <c r="T131" s="47">
        <f>X130</f>
        <v>5950000</v>
      </c>
      <c r="U131" s="47">
        <f t="shared" ref="U131:U194" si="0">$T$128</f>
        <v>50000</v>
      </c>
      <c r="V131" s="47">
        <f t="shared" ref="V131:V194" si="1">$T$127*T131</f>
        <v>19478.751704083541</v>
      </c>
      <c r="W131" s="47">
        <f t="shared" ref="W131:W194" si="2">V131+U131</f>
        <v>69478.751704083537</v>
      </c>
      <c r="X131" s="47">
        <f t="shared" ref="X131:X194" si="3">T131-U131</f>
        <v>5900000</v>
      </c>
      <c r="Y131">
        <v>62</v>
      </c>
      <c r="Z131" s="50">
        <v>2</v>
      </c>
      <c r="AA131" s="47">
        <f>AE130</f>
        <v>2954750.4338342007</v>
      </c>
      <c r="AB131" s="47">
        <f t="shared" ref="AB131:AB189" si="4">AD131-AC131</f>
        <v>45400.398053018391</v>
      </c>
      <c r="AC131" s="47">
        <f t="shared" ref="AC131:AC189" si="5">$AA$127*AA131</f>
        <v>9849.1681127806696</v>
      </c>
      <c r="AD131" s="52">
        <f t="shared" ref="AD131:AD189" si="6">$AA$128</f>
        <v>55249.566165799057</v>
      </c>
      <c r="AE131" s="47">
        <f t="shared" ref="AE131:AE189" si="7">AA131-AB131</f>
        <v>2909350.0357811823</v>
      </c>
    </row>
    <row r="132" spans="19:31" ht="14.4" thickBot="1" x14ac:dyDescent="0.3">
      <c r="S132" s="46">
        <v>3</v>
      </c>
      <c r="T132" s="47">
        <f t="shared" ref="T132:T195" si="8">X131</f>
        <v>5900000</v>
      </c>
      <c r="U132" s="47">
        <f t="shared" si="0"/>
        <v>50000</v>
      </c>
      <c r="V132" s="47">
        <f t="shared" si="1"/>
        <v>19315.064714973596</v>
      </c>
      <c r="W132" s="47">
        <f t="shared" si="2"/>
        <v>69315.064714973589</v>
      </c>
      <c r="X132" s="47">
        <f t="shared" si="3"/>
        <v>5850000</v>
      </c>
      <c r="Y132">
        <v>63</v>
      </c>
      <c r="Z132" s="50">
        <v>3</v>
      </c>
      <c r="AA132" s="47">
        <f t="shared" ref="AA132:AA189" si="9">AE131</f>
        <v>2909350.0357811823</v>
      </c>
      <c r="AB132" s="47">
        <f t="shared" si="4"/>
        <v>45551.732713195117</v>
      </c>
      <c r="AC132" s="47">
        <f t="shared" si="5"/>
        <v>9697.8334526039416</v>
      </c>
      <c r="AD132" s="52">
        <f t="shared" si="6"/>
        <v>55249.566165799057</v>
      </c>
      <c r="AE132" s="47">
        <f t="shared" si="7"/>
        <v>2863798.3030679873</v>
      </c>
    </row>
    <row r="133" spans="19:31" ht="14.4" thickBot="1" x14ac:dyDescent="0.3">
      <c r="S133" s="46">
        <v>4</v>
      </c>
      <c r="T133" s="47">
        <f t="shared" si="8"/>
        <v>5850000</v>
      </c>
      <c r="U133" s="47">
        <f t="shared" si="0"/>
        <v>50000</v>
      </c>
      <c r="V133" s="47">
        <f t="shared" si="1"/>
        <v>19151.377725863651</v>
      </c>
      <c r="W133" s="47">
        <f t="shared" si="2"/>
        <v>69151.377725863655</v>
      </c>
      <c r="X133" s="47">
        <f t="shared" si="3"/>
        <v>5800000</v>
      </c>
      <c r="Y133">
        <v>64</v>
      </c>
      <c r="Z133" s="50">
        <v>4</v>
      </c>
      <c r="AA133" s="47">
        <f t="shared" si="9"/>
        <v>2863798.3030679873</v>
      </c>
      <c r="AB133" s="47">
        <f t="shared" si="4"/>
        <v>45703.571822239101</v>
      </c>
      <c r="AC133" s="47">
        <f t="shared" si="5"/>
        <v>9545.994343559958</v>
      </c>
      <c r="AD133" s="52">
        <f t="shared" si="6"/>
        <v>55249.566165799057</v>
      </c>
      <c r="AE133" s="47">
        <f t="shared" si="7"/>
        <v>2818094.7312457482</v>
      </c>
    </row>
    <row r="134" spans="19:31" ht="14.4" thickBot="1" x14ac:dyDescent="0.3">
      <c r="S134" s="46">
        <v>5</v>
      </c>
      <c r="T134" s="47">
        <f t="shared" si="8"/>
        <v>5800000</v>
      </c>
      <c r="U134" s="47">
        <f t="shared" si="0"/>
        <v>50000</v>
      </c>
      <c r="V134" s="47">
        <f t="shared" si="1"/>
        <v>18987.690736753702</v>
      </c>
      <c r="W134" s="47">
        <f t="shared" si="2"/>
        <v>68987.690736753706</v>
      </c>
      <c r="X134" s="47">
        <f t="shared" si="3"/>
        <v>5750000</v>
      </c>
      <c r="Y134">
        <v>65</v>
      </c>
      <c r="Z134" s="50">
        <v>5</v>
      </c>
      <c r="AA134" s="47">
        <f t="shared" si="9"/>
        <v>2818094.7312457482</v>
      </c>
      <c r="AB134" s="47">
        <f t="shared" si="4"/>
        <v>45855.917061646564</v>
      </c>
      <c r="AC134" s="47">
        <f t="shared" si="5"/>
        <v>9393.6491041524951</v>
      </c>
      <c r="AD134" s="52">
        <f t="shared" si="6"/>
        <v>55249.566165799057</v>
      </c>
      <c r="AE134" s="47">
        <f t="shared" si="7"/>
        <v>2772238.8141841018</v>
      </c>
    </row>
    <row r="135" spans="19:31" ht="14.4" thickBot="1" x14ac:dyDescent="0.3">
      <c r="S135" s="46">
        <v>6</v>
      </c>
      <c r="T135" s="47">
        <f t="shared" si="8"/>
        <v>5750000</v>
      </c>
      <c r="U135" s="47">
        <f t="shared" si="0"/>
        <v>50000</v>
      </c>
      <c r="V135" s="47">
        <f t="shared" si="1"/>
        <v>18824.003747643757</v>
      </c>
      <c r="W135" s="47">
        <f t="shared" si="2"/>
        <v>68824.003747643757</v>
      </c>
      <c r="X135" s="47">
        <f t="shared" si="3"/>
        <v>5700000</v>
      </c>
      <c r="Y135">
        <v>66</v>
      </c>
      <c r="Z135" s="50">
        <v>6</v>
      </c>
      <c r="AA135" s="47">
        <f t="shared" si="9"/>
        <v>2772238.8141841018</v>
      </c>
      <c r="AB135" s="47">
        <f t="shared" si="4"/>
        <v>46008.770118518718</v>
      </c>
      <c r="AC135" s="47">
        <f t="shared" si="5"/>
        <v>9240.7960472803406</v>
      </c>
      <c r="AD135" s="52">
        <f t="shared" si="6"/>
        <v>55249.566165799057</v>
      </c>
      <c r="AE135" s="47">
        <f t="shared" si="7"/>
        <v>2726230.044065583</v>
      </c>
    </row>
    <row r="136" spans="19:31" ht="14.4" thickBot="1" x14ac:dyDescent="0.3">
      <c r="S136" s="46">
        <v>7</v>
      </c>
      <c r="T136" s="47">
        <f t="shared" si="8"/>
        <v>5700000</v>
      </c>
      <c r="U136" s="47">
        <f t="shared" si="0"/>
        <v>50000</v>
      </c>
      <c r="V136" s="47">
        <f t="shared" si="1"/>
        <v>18660.316758533812</v>
      </c>
      <c r="W136" s="47">
        <f t="shared" si="2"/>
        <v>68660.316758533809</v>
      </c>
      <c r="X136" s="47">
        <f t="shared" si="3"/>
        <v>5650000</v>
      </c>
      <c r="Y136">
        <v>67</v>
      </c>
      <c r="Z136" s="50">
        <v>7</v>
      </c>
      <c r="AA136" s="47">
        <f t="shared" si="9"/>
        <v>2726230.044065583</v>
      </c>
      <c r="AB136" s="47">
        <f t="shared" si="4"/>
        <v>46162.132685580444</v>
      </c>
      <c r="AC136" s="47">
        <f t="shared" si="5"/>
        <v>9087.4334802186113</v>
      </c>
      <c r="AD136" s="52">
        <f t="shared" si="6"/>
        <v>55249.566165799057</v>
      </c>
      <c r="AE136" s="47">
        <f t="shared" si="7"/>
        <v>2680067.9113800027</v>
      </c>
    </row>
    <row r="137" spans="19:31" ht="14.4" thickBot="1" x14ac:dyDescent="0.3">
      <c r="S137" s="46">
        <v>8</v>
      </c>
      <c r="T137" s="47">
        <f t="shared" si="8"/>
        <v>5650000</v>
      </c>
      <c r="U137" s="47">
        <f t="shared" si="0"/>
        <v>50000</v>
      </c>
      <c r="V137" s="47">
        <f t="shared" si="1"/>
        <v>18496.629769423867</v>
      </c>
      <c r="W137" s="47">
        <f t="shared" si="2"/>
        <v>68496.62976942386</v>
      </c>
      <c r="X137" s="47">
        <f t="shared" si="3"/>
        <v>5600000</v>
      </c>
      <c r="Y137">
        <v>68</v>
      </c>
      <c r="Z137" s="50">
        <v>8</v>
      </c>
      <c r="AA137" s="47">
        <f t="shared" si="9"/>
        <v>2680067.9113800027</v>
      </c>
      <c r="AB137" s="48">
        <f t="shared" si="4"/>
        <v>46316.006461199046</v>
      </c>
      <c r="AC137" s="47">
        <f t="shared" si="5"/>
        <v>8933.5597046000094</v>
      </c>
      <c r="AD137" s="52">
        <f t="shared" si="6"/>
        <v>55249.566165799057</v>
      </c>
      <c r="AE137" s="47">
        <f t="shared" si="7"/>
        <v>2633751.9049188038</v>
      </c>
    </row>
    <row r="138" spans="19:31" ht="14.4" thickBot="1" x14ac:dyDescent="0.3">
      <c r="S138" s="46">
        <v>9</v>
      </c>
      <c r="T138" s="47">
        <f t="shared" si="8"/>
        <v>5600000</v>
      </c>
      <c r="U138" s="47">
        <f t="shared" si="0"/>
        <v>50000</v>
      </c>
      <c r="V138" s="47">
        <f t="shared" si="1"/>
        <v>18332.942780313922</v>
      </c>
      <c r="W138" s="47">
        <f t="shared" si="2"/>
        <v>68332.942780313926</v>
      </c>
      <c r="X138" s="47">
        <f t="shared" si="3"/>
        <v>5550000</v>
      </c>
      <c r="Y138">
        <v>69</v>
      </c>
      <c r="Z138" s="50">
        <v>9</v>
      </c>
      <c r="AA138" s="47">
        <f t="shared" si="9"/>
        <v>2633751.9049188038</v>
      </c>
      <c r="AB138" s="47">
        <f t="shared" si="4"/>
        <v>46470.39314940304</v>
      </c>
      <c r="AC138" s="47">
        <f t="shared" si="5"/>
        <v>8779.1730163960128</v>
      </c>
      <c r="AD138" s="52">
        <f t="shared" si="6"/>
        <v>55249.566165799057</v>
      </c>
      <c r="AE138" s="47">
        <f t="shared" si="7"/>
        <v>2587281.5117694009</v>
      </c>
    </row>
    <row r="139" spans="19:31" ht="14.4" thickBot="1" x14ac:dyDescent="0.3">
      <c r="S139" s="46">
        <v>10</v>
      </c>
      <c r="T139" s="47">
        <f t="shared" si="8"/>
        <v>5550000</v>
      </c>
      <c r="U139" s="47">
        <f t="shared" si="0"/>
        <v>50000</v>
      </c>
      <c r="V139" s="47">
        <f t="shared" si="1"/>
        <v>18169.255791203974</v>
      </c>
      <c r="W139" s="47">
        <f t="shared" si="2"/>
        <v>68169.255791203977</v>
      </c>
      <c r="X139" s="47">
        <f t="shared" si="3"/>
        <v>5500000</v>
      </c>
      <c r="Y139">
        <v>70</v>
      </c>
      <c r="Z139" s="50">
        <v>10</v>
      </c>
      <c r="AA139" s="47">
        <f t="shared" si="9"/>
        <v>2587281.5117694009</v>
      </c>
      <c r="AB139" s="47">
        <f t="shared" si="4"/>
        <v>46625.294459901052</v>
      </c>
      <c r="AC139" s="47">
        <f t="shared" si="5"/>
        <v>8624.2717058980033</v>
      </c>
      <c r="AD139" s="52">
        <f t="shared" si="6"/>
        <v>55249.566165799057</v>
      </c>
      <c r="AE139" s="47">
        <f t="shared" si="7"/>
        <v>2540656.2173095001</v>
      </c>
    </row>
    <row r="140" spans="19:31" ht="14.4" thickBot="1" x14ac:dyDescent="0.3">
      <c r="S140" s="46">
        <v>11</v>
      </c>
      <c r="T140" s="47">
        <f t="shared" si="8"/>
        <v>5500000</v>
      </c>
      <c r="U140" s="47">
        <f t="shared" si="0"/>
        <v>50000</v>
      </c>
      <c r="V140" s="47">
        <f t="shared" si="1"/>
        <v>18005.568802094029</v>
      </c>
      <c r="W140" s="47">
        <f t="shared" si="2"/>
        <v>68005.568802094029</v>
      </c>
      <c r="X140" s="47">
        <f t="shared" si="3"/>
        <v>5450000</v>
      </c>
      <c r="Y140">
        <v>71</v>
      </c>
      <c r="Z140" s="50">
        <v>11</v>
      </c>
      <c r="AA140" s="47">
        <f t="shared" si="9"/>
        <v>2540656.2173095001</v>
      </c>
      <c r="AB140" s="47">
        <f t="shared" si="4"/>
        <v>46780.712108100721</v>
      </c>
      <c r="AC140" s="47">
        <f t="shared" si="5"/>
        <v>8468.8540576983341</v>
      </c>
      <c r="AD140" s="52">
        <f t="shared" si="6"/>
        <v>55249.566165799057</v>
      </c>
      <c r="AE140" s="47">
        <f t="shared" si="7"/>
        <v>2493875.5052013993</v>
      </c>
    </row>
    <row r="141" spans="19:31" ht="14.4" thickBot="1" x14ac:dyDescent="0.3">
      <c r="S141" s="46">
        <v>12</v>
      </c>
      <c r="T141" s="47">
        <f t="shared" si="8"/>
        <v>5450000</v>
      </c>
      <c r="U141" s="47">
        <f t="shared" si="0"/>
        <v>50000</v>
      </c>
      <c r="V141" s="47">
        <f t="shared" si="1"/>
        <v>17841.881812984084</v>
      </c>
      <c r="W141" s="47">
        <f t="shared" si="2"/>
        <v>67841.88181298408</v>
      </c>
      <c r="X141" s="47">
        <f t="shared" si="3"/>
        <v>5400000</v>
      </c>
      <c r="Y141">
        <v>72</v>
      </c>
      <c r="Z141" s="50">
        <v>12</v>
      </c>
      <c r="AA141" s="47">
        <f t="shared" si="9"/>
        <v>2493875.5052013993</v>
      </c>
      <c r="AB141" s="47">
        <f t="shared" si="4"/>
        <v>46936.647815127726</v>
      </c>
      <c r="AC141" s="47">
        <f t="shared" si="5"/>
        <v>8312.9183506713325</v>
      </c>
      <c r="AD141" s="52">
        <f t="shared" si="6"/>
        <v>55249.566165799057</v>
      </c>
      <c r="AE141" s="47">
        <f t="shared" si="7"/>
        <v>2446938.8573862715</v>
      </c>
    </row>
    <row r="142" spans="19:31" ht="14.4" thickBot="1" x14ac:dyDescent="0.3">
      <c r="S142" s="46">
        <v>13</v>
      </c>
      <c r="T142" s="47">
        <f t="shared" si="8"/>
        <v>5400000</v>
      </c>
      <c r="U142" s="47">
        <f t="shared" si="0"/>
        <v>50000</v>
      </c>
      <c r="V142" s="47">
        <f t="shared" si="1"/>
        <v>17678.194823874139</v>
      </c>
      <c r="W142" s="47">
        <f t="shared" si="2"/>
        <v>67678.194823874132</v>
      </c>
      <c r="X142" s="47">
        <f t="shared" si="3"/>
        <v>5350000</v>
      </c>
      <c r="Y142">
        <v>73</v>
      </c>
      <c r="Z142" s="50">
        <v>13</v>
      </c>
      <c r="AA142" s="47">
        <f t="shared" si="9"/>
        <v>2446938.8573862715</v>
      </c>
      <c r="AB142" s="47">
        <f t="shared" si="4"/>
        <v>47093.103307844816</v>
      </c>
      <c r="AC142" s="47">
        <f t="shared" si="5"/>
        <v>8156.4628579542386</v>
      </c>
      <c r="AD142" s="52">
        <f t="shared" si="6"/>
        <v>55249.566165799057</v>
      </c>
      <c r="AE142" s="47">
        <f t="shared" si="7"/>
        <v>2399845.7540784269</v>
      </c>
    </row>
    <row r="143" spans="19:31" ht="14.4" thickBot="1" x14ac:dyDescent="0.3">
      <c r="S143" s="46">
        <v>14</v>
      </c>
      <c r="T143" s="47">
        <f t="shared" si="8"/>
        <v>5350000</v>
      </c>
      <c r="U143" s="47">
        <f t="shared" si="0"/>
        <v>50000</v>
      </c>
      <c r="V143" s="47">
        <f t="shared" si="1"/>
        <v>17514.507834764194</v>
      </c>
      <c r="W143" s="47">
        <f t="shared" si="2"/>
        <v>67514.507834764197</v>
      </c>
      <c r="X143" s="47">
        <f t="shared" si="3"/>
        <v>5300000</v>
      </c>
      <c r="Y143">
        <v>74</v>
      </c>
      <c r="Z143" s="50">
        <v>14</v>
      </c>
      <c r="AA143" s="47">
        <f t="shared" si="9"/>
        <v>2399845.7540784269</v>
      </c>
      <c r="AB143" s="47">
        <f t="shared" si="4"/>
        <v>47250.080318870969</v>
      </c>
      <c r="AC143" s="47">
        <f t="shared" si="5"/>
        <v>7999.4858469280898</v>
      </c>
      <c r="AD143" s="52">
        <f t="shared" si="6"/>
        <v>55249.566165799057</v>
      </c>
      <c r="AE143" s="47">
        <f t="shared" si="7"/>
        <v>2352595.6737595559</v>
      </c>
    </row>
    <row r="144" spans="19:31" ht="14.4" thickBot="1" x14ac:dyDescent="0.3">
      <c r="S144" s="46">
        <v>15</v>
      </c>
      <c r="T144" s="47">
        <f t="shared" si="8"/>
        <v>5300000</v>
      </c>
      <c r="U144" s="47">
        <f t="shared" si="0"/>
        <v>50000</v>
      </c>
      <c r="V144" s="47">
        <f t="shared" si="1"/>
        <v>17350.820845654245</v>
      </c>
      <c r="W144" s="47">
        <f t="shared" si="2"/>
        <v>67350.820845654249</v>
      </c>
      <c r="X144" s="47">
        <f t="shared" si="3"/>
        <v>5250000</v>
      </c>
      <c r="Y144">
        <v>75</v>
      </c>
      <c r="Z144" s="50">
        <v>15</v>
      </c>
      <c r="AA144" s="47">
        <f t="shared" si="9"/>
        <v>2352595.6737595559</v>
      </c>
      <c r="AB144" s="47">
        <f t="shared" si="4"/>
        <v>47407.580586600539</v>
      </c>
      <c r="AC144" s="47">
        <f t="shared" si="5"/>
        <v>7841.9855791985201</v>
      </c>
      <c r="AD144" s="52">
        <f t="shared" si="6"/>
        <v>55249.566165799057</v>
      </c>
      <c r="AE144" s="47">
        <f t="shared" si="7"/>
        <v>2305188.0931729553</v>
      </c>
    </row>
    <row r="145" spans="19:31" ht="14.4" thickBot="1" x14ac:dyDescent="0.3">
      <c r="S145" s="46">
        <v>16</v>
      </c>
      <c r="T145" s="47">
        <f t="shared" si="8"/>
        <v>5250000</v>
      </c>
      <c r="U145" s="47">
        <f t="shared" si="0"/>
        <v>50000</v>
      </c>
      <c r="V145" s="47">
        <f t="shared" si="1"/>
        <v>17187.1338565443</v>
      </c>
      <c r="W145" s="47">
        <f t="shared" si="2"/>
        <v>67187.1338565443</v>
      </c>
      <c r="X145" s="47">
        <f t="shared" si="3"/>
        <v>5200000</v>
      </c>
      <c r="Y145">
        <v>76</v>
      </c>
      <c r="Z145" s="50">
        <v>16</v>
      </c>
      <c r="AA145" s="47">
        <f t="shared" si="9"/>
        <v>2305188.0931729553</v>
      </c>
      <c r="AB145" s="47">
        <f t="shared" si="4"/>
        <v>47565.605855222537</v>
      </c>
      <c r="AC145" s="47">
        <f t="shared" si="5"/>
        <v>7683.9603105765182</v>
      </c>
      <c r="AD145" s="52">
        <f t="shared" si="6"/>
        <v>55249.566165799057</v>
      </c>
      <c r="AE145" s="47">
        <f t="shared" si="7"/>
        <v>2257622.487317733</v>
      </c>
    </row>
    <row r="146" spans="19:31" ht="14.4" thickBot="1" x14ac:dyDescent="0.3">
      <c r="S146" s="46">
        <v>17</v>
      </c>
      <c r="T146" s="47">
        <f t="shared" si="8"/>
        <v>5200000</v>
      </c>
      <c r="U146" s="47">
        <f t="shared" si="0"/>
        <v>50000</v>
      </c>
      <c r="V146" s="47">
        <f t="shared" si="1"/>
        <v>17023.446867434355</v>
      </c>
      <c r="W146" s="47">
        <f t="shared" si="2"/>
        <v>67023.446867434352</v>
      </c>
      <c r="X146" s="47">
        <f t="shared" si="3"/>
        <v>5150000</v>
      </c>
      <c r="Y146">
        <v>77</v>
      </c>
      <c r="Z146" s="50">
        <v>17</v>
      </c>
      <c r="AA146" s="47">
        <f t="shared" si="9"/>
        <v>2257622.487317733</v>
      </c>
      <c r="AB146" s="47">
        <f t="shared" si="4"/>
        <v>47724.157874739947</v>
      </c>
      <c r="AC146" s="47">
        <f t="shared" si="5"/>
        <v>7525.4082910591105</v>
      </c>
      <c r="AD146" s="52">
        <f t="shared" si="6"/>
        <v>55249.566165799057</v>
      </c>
      <c r="AE146" s="47">
        <f t="shared" si="7"/>
        <v>2209898.3294429933</v>
      </c>
    </row>
    <row r="147" spans="19:31" ht="14.4" thickBot="1" x14ac:dyDescent="0.3">
      <c r="S147" s="46">
        <v>18</v>
      </c>
      <c r="T147" s="47">
        <f t="shared" si="8"/>
        <v>5150000</v>
      </c>
      <c r="U147" s="47">
        <f t="shared" si="0"/>
        <v>50000</v>
      </c>
      <c r="V147" s="47">
        <f t="shared" si="1"/>
        <v>16859.75987832441</v>
      </c>
      <c r="W147" s="47">
        <f t="shared" si="2"/>
        <v>66859.759878324403</v>
      </c>
      <c r="X147" s="47">
        <f t="shared" si="3"/>
        <v>5100000</v>
      </c>
      <c r="Y147">
        <v>78</v>
      </c>
      <c r="Z147" s="50">
        <v>18</v>
      </c>
      <c r="AA147" s="47">
        <f t="shared" si="9"/>
        <v>2209898.3294429933</v>
      </c>
      <c r="AB147" s="47">
        <f t="shared" si="4"/>
        <v>47883.238400989081</v>
      </c>
      <c r="AC147" s="47">
        <f t="shared" si="5"/>
        <v>7366.3277648099784</v>
      </c>
      <c r="AD147" s="52">
        <f t="shared" si="6"/>
        <v>55249.566165799057</v>
      </c>
      <c r="AE147" s="47">
        <f t="shared" si="7"/>
        <v>2162015.0910420041</v>
      </c>
    </row>
    <row r="148" spans="19:31" ht="14.4" thickBot="1" x14ac:dyDescent="0.3">
      <c r="S148" s="46">
        <v>19</v>
      </c>
      <c r="T148" s="47">
        <f t="shared" si="8"/>
        <v>5100000</v>
      </c>
      <c r="U148" s="47">
        <f t="shared" si="0"/>
        <v>50000</v>
      </c>
      <c r="V148" s="47">
        <f t="shared" si="1"/>
        <v>16696.072889214465</v>
      </c>
      <c r="W148" s="47">
        <f t="shared" si="2"/>
        <v>66696.072889214469</v>
      </c>
      <c r="X148" s="47">
        <f t="shared" si="3"/>
        <v>5050000</v>
      </c>
      <c r="Y148">
        <v>79</v>
      </c>
      <c r="Z148" s="50">
        <v>19</v>
      </c>
      <c r="AA148" s="47">
        <f t="shared" si="9"/>
        <v>2162015.0910420041</v>
      </c>
      <c r="AB148" s="47">
        <f t="shared" si="4"/>
        <v>48042.849195659044</v>
      </c>
      <c r="AC148" s="47">
        <f t="shared" si="5"/>
        <v>7206.7169701400144</v>
      </c>
      <c r="AD148" s="52">
        <f t="shared" si="6"/>
        <v>55249.566165799057</v>
      </c>
      <c r="AE148" s="47">
        <f t="shared" si="7"/>
        <v>2113972.2418463449</v>
      </c>
    </row>
    <row r="149" spans="19:31" ht="14.4" thickBot="1" x14ac:dyDescent="0.3">
      <c r="S149" s="46">
        <v>20</v>
      </c>
      <c r="T149" s="47">
        <f t="shared" si="8"/>
        <v>5050000</v>
      </c>
      <c r="U149" s="47">
        <f t="shared" si="0"/>
        <v>50000</v>
      </c>
      <c r="V149" s="47">
        <f t="shared" si="1"/>
        <v>16532.385900104517</v>
      </c>
      <c r="W149" s="47">
        <f t="shared" si="2"/>
        <v>66532.38590010452</v>
      </c>
      <c r="X149" s="47">
        <f t="shared" si="3"/>
        <v>5000000</v>
      </c>
      <c r="Y149">
        <v>80</v>
      </c>
      <c r="Z149" s="50">
        <v>20</v>
      </c>
      <c r="AA149" s="47">
        <f t="shared" si="9"/>
        <v>2113972.2418463449</v>
      </c>
      <c r="AB149" s="47">
        <f t="shared" si="4"/>
        <v>48202.992026311244</v>
      </c>
      <c r="AC149" s="47">
        <f t="shared" si="5"/>
        <v>7046.5741394878169</v>
      </c>
      <c r="AD149" s="52">
        <f t="shared" si="6"/>
        <v>55249.566165799057</v>
      </c>
      <c r="AE149" s="47">
        <f t="shared" si="7"/>
        <v>2065769.2498200336</v>
      </c>
    </row>
    <row r="150" spans="19:31" ht="14.4" thickBot="1" x14ac:dyDescent="0.3">
      <c r="S150" s="46">
        <v>21</v>
      </c>
      <c r="T150" s="47">
        <f t="shared" si="8"/>
        <v>5000000</v>
      </c>
      <c r="U150" s="47">
        <f t="shared" si="0"/>
        <v>50000</v>
      </c>
      <c r="V150" s="47">
        <f t="shared" si="1"/>
        <v>16368.698910994572</v>
      </c>
      <c r="W150" s="47">
        <f t="shared" si="2"/>
        <v>66368.698910994572</v>
      </c>
      <c r="X150" s="47">
        <f t="shared" si="3"/>
        <v>4950000</v>
      </c>
      <c r="Y150">
        <v>81</v>
      </c>
      <c r="Z150" s="50">
        <v>21</v>
      </c>
      <c r="AA150" s="47">
        <f t="shared" si="9"/>
        <v>2065769.2498200336</v>
      </c>
      <c r="AB150" s="47">
        <f t="shared" si="4"/>
        <v>48363.668666398946</v>
      </c>
      <c r="AC150" s="47">
        <f t="shared" si="5"/>
        <v>6885.8974994001119</v>
      </c>
      <c r="AD150" s="52">
        <f t="shared" si="6"/>
        <v>55249.566165799057</v>
      </c>
      <c r="AE150" s="47">
        <f t="shared" si="7"/>
        <v>2017405.5811536347</v>
      </c>
    </row>
    <row r="151" spans="19:31" ht="14.4" thickBot="1" x14ac:dyDescent="0.3">
      <c r="S151" s="46">
        <v>22</v>
      </c>
      <c r="T151" s="47">
        <f t="shared" si="8"/>
        <v>4950000</v>
      </c>
      <c r="U151" s="47">
        <f t="shared" si="0"/>
        <v>50000</v>
      </c>
      <c r="V151" s="47">
        <f t="shared" si="1"/>
        <v>16205.011921884627</v>
      </c>
      <c r="W151" s="47">
        <f t="shared" si="2"/>
        <v>66205.011921884623</v>
      </c>
      <c r="X151" s="47">
        <f t="shared" si="3"/>
        <v>4900000</v>
      </c>
      <c r="Y151">
        <v>82</v>
      </c>
      <c r="Z151" s="50">
        <v>22</v>
      </c>
      <c r="AA151" s="47">
        <f t="shared" si="9"/>
        <v>2017405.5811536347</v>
      </c>
      <c r="AB151" s="47">
        <f t="shared" si="4"/>
        <v>48524.880895286944</v>
      </c>
      <c r="AC151" s="47">
        <f t="shared" si="5"/>
        <v>6724.6852705121164</v>
      </c>
      <c r="AD151" s="52">
        <f t="shared" si="6"/>
        <v>55249.566165799057</v>
      </c>
      <c r="AE151" s="47">
        <f t="shared" si="7"/>
        <v>1968880.7002583477</v>
      </c>
    </row>
    <row r="152" spans="19:31" ht="14.4" thickBot="1" x14ac:dyDescent="0.3">
      <c r="S152" s="46">
        <v>23</v>
      </c>
      <c r="T152" s="47">
        <f t="shared" si="8"/>
        <v>4900000</v>
      </c>
      <c r="U152" s="47">
        <f t="shared" si="0"/>
        <v>50000</v>
      </c>
      <c r="V152" s="47">
        <f t="shared" si="1"/>
        <v>16041.324932774682</v>
      </c>
      <c r="W152" s="47">
        <f t="shared" si="2"/>
        <v>66041.324932774674</v>
      </c>
      <c r="X152" s="47">
        <f t="shared" si="3"/>
        <v>4850000</v>
      </c>
      <c r="Y152">
        <v>83</v>
      </c>
      <c r="Z152" s="50">
        <v>23</v>
      </c>
      <c r="AA152" s="47">
        <f t="shared" si="9"/>
        <v>1968880.7002583477</v>
      </c>
      <c r="AB152" s="47">
        <f t="shared" si="4"/>
        <v>48686.630498271232</v>
      </c>
      <c r="AC152" s="47">
        <f t="shared" si="5"/>
        <v>6562.9356675278259</v>
      </c>
      <c r="AD152" s="52">
        <f t="shared" si="6"/>
        <v>55249.566165799057</v>
      </c>
      <c r="AE152" s="47">
        <f t="shared" si="7"/>
        <v>1920194.0697600765</v>
      </c>
    </row>
    <row r="153" spans="19:31" ht="14.4" thickBot="1" x14ac:dyDescent="0.3">
      <c r="S153" s="46">
        <v>24</v>
      </c>
      <c r="T153" s="47">
        <f t="shared" si="8"/>
        <v>4850000</v>
      </c>
      <c r="U153" s="47">
        <f t="shared" si="0"/>
        <v>50000</v>
      </c>
      <c r="V153" s="47">
        <f t="shared" si="1"/>
        <v>15877.637943664735</v>
      </c>
      <c r="W153" s="47">
        <f t="shared" si="2"/>
        <v>65877.63794366474</v>
      </c>
      <c r="X153" s="47">
        <f t="shared" si="3"/>
        <v>4800000</v>
      </c>
      <c r="Y153">
        <v>84</v>
      </c>
      <c r="Z153" s="50">
        <v>24</v>
      </c>
      <c r="AA153" s="47">
        <f t="shared" si="9"/>
        <v>1920194.0697600765</v>
      </c>
      <c r="AB153" s="47">
        <f t="shared" si="4"/>
        <v>48848.919266598801</v>
      </c>
      <c r="AC153" s="47">
        <f t="shared" si="5"/>
        <v>6400.6468992002556</v>
      </c>
      <c r="AD153" s="52">
        <f t="shared" si="6"/>
        <v>55249.566165799057</v>
      </c>
      <c r="AE153" s="48">
        <f t="shared" si="7"/>
        <v>1871345.1504934777</v>
      </c>
    </row>
    <row r="154" spans="19:31" ht="14.4" thickBot="1" x14ac:dyDescent="0.3">
      <c r="S154" s="46">
        <v>25</v>
      </c>
      <c r="T154" s="47">
        <f t="shared" si="8"/>
        <v>4800000</v>
      </c>
      <c r="U154" s="47">
        <f t="shared" si="0"/>
        <v>50000</v>
      </c>
      <c r="V154" s="47">
        <f t="shared" si="1"/>
        <v>15713.95095455479</v>
      </c>
      <c r="W154" s="47">
        <f t="shared" si="2"/>
        <v>65713.950954554792</v>
      </c>
      <c r="X154" s="47">
        <f t="shared" si="3"/>
        <v>4750000</v>
      </c>
      <c r="Y154">
        <v>85</v>
      </c>
      <c r="Z154" s="50">
        <v>25</v>
      </c>
      <c r="AA154" s="47">
        <f t="shared" si="9"/>
        <v>1871345.1504934777</v>
      </c>
      <c r="AB154" s="47">
        <f t="shared" si="4"/>
        <v>49011.748997487462</v>
      </c>
      <c r="AC154" s="47">
        <f t="shared" si="5"/>
        <v>6237.8171683115925</v>
      </c>
      <c r="AD154" s="52">
        <f t="shared" si="6"/>
        <v>55249.566165799057</v>
      </c>
      <c r="AE154" s="47">
        <f t="shared" si="7"/>
        <v>1822333.4014959903</v>
      </c>
    </row>
    <row r="155" spans="19:31" ht="14.4" thickBot="1" x14ac:dyDescent="0.3">
      <c r="S155" s="46">
        <v>26</v>
      </c>
      <c r="T155" s="47">
        <f t="shared" si="8"/>
        <v>4750000</v>
      </c>
      <c r="U155" s="47">
        <f t="shared" si="0"/>
        <v>50000</v>
      </c>
      <c r="V155" s="47">
        <f t="shared" si="1"/>
        <v>15550.263965444843</v>
      </c>
      <c r="W155" s="47">
        <f t="shared" si="2"/>
        <v>65550.263965444843</v>
      </c>
      <c r="X155" s="47">
        <f t="shared" si="3"/>
        <v>4700000</v>
      </c>
      <c r="Y155">
        <v>86</v>
      </c>
      <c r="Z155" s="50">
        <v>26</v>
      </c>
      <c r="AA155" s="47">
        <f t="shared" si="9"/>
        <v>1822333.4014959903</v>
      </c>
      <c r="AB155" s="47">
        <f t="shared" si="4"/>
        <v>49175.121494145758</v>
      </c>
      <c r="AC155" s="47">
        <f t="shared" si="5"/>
        <v>6074.4446716533012</v>
      </c>
      <c r="AD155" s="52">
        <f t="shared" si="6"/>
        <v>55249.566165799057</v>
      </c>
      <c r="AE155" s="47">
        <f t="shared" si="7"/>
        <v>1773158.2800018445</v>
      </c>
    </row>
    <row r="156" spans="19:31" ht="14.4" thickBot="1" x14ac:dyDescent="0.3">
      <c r="S156" s="46">
        <v>27</v>
      </c>
      <c r="T156" s="47">
        <f t="shared" si="8"/>
        <v>4700000</v>
      </c>
      <c r="U156" s="47">
        <f t="shared" si="0"/>
        <v>50000</v>
      </c>
      <c r="V156" s="47">
        <f t="shared" si="1"/>
        <v>15386.576976334898</v>
      </c>
      <c r="W156" s="47">
        <f t="shared" si="2"/>
        <v>65386.576976334894</v>
      </c>
      <c r="X156" s="47">
        <f t="shared" si="3"/>
        <v>4650000</v>
      </c>
      <c r="Y156">
        <v>87</v>
      </c>
      <c r="Z156" s="50">
        <v>27</v>
      </c>
      <c r="AA156" s="47">
        <f t="shared" si="9"/>
        <v>1773158.2800018445</v>
      </c>
      <c r="AB156" s="47">
        <f t="shared" si="4"/>
        <v>49339.038565792907</v>
      </c>
      <c r="AC156" s="47">
        <f t="shared" si="5"/>
        <v>5910.5276000061485</v>
      </c>
      <c r="AD156" s="52">
        <f t="shared" si="6"/>
        <v>55249.566165799057</v>
      </c>
      <c r="AE156" s="47">
        <f t="shared" si="7"/>
        <v>1723819.2414360517</v>
      </c>
    </row>
    <row r="157" spans="19:31" ht="14.4" thickBot="1" x14ac:dyDescent="0.3">
      <c r="S157" s="46">
        <v>28</v>
      </c>
      <c r="T157" s="47">
        <f t="shared" si="8"/>
        <v>4650000</v>
      </c>
      <c r="U157" s="47">
        <f t="shared" si="0"/>
        <v>50000</v>
      </c>
      <c r="V157" s="47">
        <f t="shared" si="1"/>
        <v>15222.889987224953</v>
      </c>
      <c r="W157" s="47">
        <f t="shared" si="2"/>
        <v>65222.889987224953</v>
      </c>
      <c r="X157" s="47">
        <f t="shared" si="3"/>
        <v>4600000</v>
      </c>
      <c r="Y157">
        <v>88</v>
      </c>
      <c r="Z157" s="50">
        <v>28</v>
      </c>
      <c r="AA157" s="47">
        <f t="shared" si="9"/>
        <v>1723819.2414360517</v>
      </c>
      <c r="AB157" s="47">
        <f t="shared" si="4"/>
        <v>49503.502027678885</v>
      </c>
      <c r="AC157" s="47">
        <f t="shared" si="5"/>
        <v>5746.0641381201722</v>
      </c>
      <c r="AD157" s="52">
        <f t="shared" si="6"/>
        <v>55249.566165799057</v>
      </c>
      <c r="AE157" s="47">
        <f t="shared" si="7"/>
        <v>1674315.7394083729</v>
      </c>
    </row>
    <row r="158" spans="19:31" ht="14.4" thickBot="1" x14ac:dyDescent="0.3">
      <c r="S158" s="46">
        <v>29</v>
      </c>
      <c r="T158" s="47">
        <f t="shared" si="8"/>
        <v>4600000</v>
      </c>
      <c r="U158" s="47">
        <f t="shared" si="0"/>
        <v>50000</v>
      </c>
      <c r="V158" s="47">
        <f t="shared" si="1"/>
        <v>15059.202998115006</v>
      </c>
      <c r="W158" s="47">
        <f t="shared" si="2"/>
        <v>65059.202998115004</v>
      </c>
      <c r="X158" s="47">
        <f t="shared" si="3"/>
        <v>4550000</v>
      </c>
      <c r="Y158">
        <v>89</v>
      </c>
      <c r="Z158" s="50">
        <v>29</v>
      </c>
      <c r="AA158" s="47">
        <f t="shared" si="9"/>
        <v>1674315.7394083729</v>
      </c>
      <c r="AB158" s="47">
        <f t="shared" si="4"/>
        <v>49668.513701104479</v>
      </c>
      <c r="AC158" s="47">
        <f t="shared" si="5"/>
        <v>5581.0524646945769</v>
      </c>
      <c r="AD158" s="52">
        <f t="shared" si="6"/>
        <v>55249.566165799057</v>
      </c>
      <c r="AE158" s="47">
        <f t="shared" si="7"/>
        <v>1624647.2257072683</v>
      </c>
    </row>
    <row r="159" spans="19:31" ht="14.4" thickBot="1" x14ac:dyDescent="0.3">
      <c r="S159" s="46">
        <v>30</v>
      </c>
      <c r="T159" s="47">
        <f t="shared" si="8"/>
        <v>4550000</v>
      </c>
      <c r="U159" s="47">
        <f t="shared" si="0"/>
        <v>50000</v>
      </c>
      <c r="V159" s="47">
        <f t="shared" si="1"/>
        <v>14895.516009005061</v>
      </c>
      <c r="W159" s="47">
        <f t="shared" si="2"/>
        <v>64895.516009005063</v>
      </c>
      <c r="X159" s="47">
        <f t="shared" si="3"/>
        <v>4500000</v>
      </c>
      <c r="Y159">
        <v>90</v>
      </c>
      <c r="Z159" s="50">
        <v>30</v>
      </c>
      <c r="AA159" s="47">
        <f t="shared" si="9"/>
        <v>1624647.2257072683</v>
      </c>
      <c r="AB159" s="47">
        <f t="shared" si="4"/>
        <v>49834.075413441496</v>
      </c>
      <c r="AC159" s="47">
        <f t="shared" si="5"/>
        <v>5415.4907523575612</v>
      </c>
      <c r="AD159" s="52">
        <f t="shared" si="6"/>
        <v>55249.566165799057</v>
      </c>
      <c r="AE159" s="47">
        <f t="shared" si="7"/>
        <v>1574813.1502938268</v>
      </c>
    </row>
    <row r="160" spans="19:31" ht="14.4" thickBot="1" x14ac:dyDescent="0.3">
      <c r="S160" s="46">
        <v>31</v>
      </c>
      <c r="T160" s="47">
        <f t="shared" si="8"/>
        <v>4500000</v>
      </c>
      <c r="U160" s="47">
        <f t="shared" si="0"/>
        <v>50000</v>
      </c>
      <c r="V160" s="47">
        <f t="shared" si="1"/>
        <v>14731.829019895114</v>
      </c>
      <c r="W160" s="47">
        <f t="shared" si="2"/>
        <v>64731.829019895114</v>
      </c>
      <c r="X160" s="47">
        <f t="shared" si="3"/>
        <v>4450000</v>
      </c>
      <c r="Y160">
        <v>91</v>
      </c>
      <c r="Z160" s="50">
        <v>31</v>
      </c>
      <c r="AA160" s="47">
        <f t="shared" si="9"/>
        <v>1574813.1502938268</v>
      </c>
      <c r="AB160" s="47">
        <f t="shared" si="4"/>
        <v>50000.188998152968</v>
      </c>
      <c r="AC160" s="47">
        <f t="shared" si="5"/>
        <v>5249.3771676460901</v>
      </c>
      <c r="AD160" s="52">
        <f t="shared" si="6"/>
        <v>55249.566165799057</v>
      </c>
      <c r="AE160" s="47">
        <f t="shared" si="7"/>
        <v>1524812.9612956739</v>
      </c>
    </row>
    <row r="161" spans="4:31" ht="14.4" thickBot="1" x14ac:dyDescent="0.3">
      <c r="S161" s="46">
        <v>32</v>
      </c>
      <c r="T161" s="47">
        <f t="shared" si="8"/>
        <v>4450000</v>
      </c>
      <c r="U161" s="47">
        <f t="shared" si="0"/>
        <v>50000</v>
      </c>
      <c r="V161" s="47">
        <f t="shared" si="1"/>
        <v>14568.142030785169</v>
      </c>
      <c r="W161" s="47">
        <f t="shared" si="2"/>
        <v>64568.142030785166</v>
      </c>
      <c r="X161" s="47">
        <f t="shared" si="3"/>
        <v>4400000</v>
      </c>
      <c r="Y161">
        <v>92</v>
      </c>
      <c r="Z161" s="50">
        <v>32</v>
      </c>
      <c r="AA161" s="47">
        <f t="shared" si="9"/>
        <v>1524812.9612956739</v>
      </c>
      <c r="AB161" s="47">
        <f t="shared" si="4"/>
        <v>50166.856294813479</v>
      </c>
      <c r="AC161" s="47">
        <f t="shared" si="5"/>
        <v>5082.70987098558</v>
      </c>
      <c r="AD161" s="52">
        <f t="shared" si="6"/>
        <v>55249.566165799057</v>
      </c>
      <c r="AE161" s="47">
        <f t="shared" si="7"/>
        <v>1474646.1050008603</v>
      </c>
    </row>
    <row r="162" spans="4:31" ht="14.4" thickBot="1" x14ac:dyDescent="0.3">
      <c r="S162" s="46">
        <v>33</v>
      </c>
      <c r="T162" s="47">
        <f t="shared" si="8"/>
        <v>4400000</v>
      </c>
      <c r="U162" s="47">
        <f t="shared" si="0"/>
        <v>50000</v>
      </c>
      <c r="V162" s="47">
        <f t="shared" si="1"/>
        <v>14404.455041675224</v>
      </c>
      <c r="W162" s="47">
        <f t="shared" si="2"/>
        <v>64404.455041675224</v>
      </c>
      <c r="X162" s="47">
        <f t="shared" si="3"/>
        <v>4350000</v>
      </c>
      <c r="Y162">
        <v>93</v>
      </c>
      <c r="Z162" s="50">
        <v>33</v>
      </c>
      <c r="AA162" s="47">
        <f t="shared" si="9"/>
        <v>1474646.1050008603</v>
      </c>
      <c r="AB162" s="47">
        <f t="shared" si="4"/>
        <v>50334.079149129524</v>
      </c>
      <c r="AC162" s="47">
        <f t="shared" si="5"/>
        <v>4915.4870166695346</v>
      </c>
      <c r="AD162" s="52">
        <f t="shared" si="6"/>
        <v>55249.566165799057</v>
      </c>
      <c r="AE162" s="47">
        <f t="shared" si="7"/>
        <v>1424312.0258517307</v>
      </c>
    </row>
    <row r="163" spans="4:31" ht="14.4" thickBot="1" x14ac:dyDescent="0.3">
      <c r="S163" s="46">
        <v>34</v>
      </c>
      <c r="T163" s="47">
        <f t="shared" si="8"/>
        <v>4350000</v>
      </c>
      <c r="U163" s="47">
        <f t="shared" si="0"/>
        <v>50000</v>
      </c>
      <c r="V163" s="47">
        <f t="shared" si="1"/>
        <v>14240.768052565278</v>
      </c>
      <c r="W163" s="47">
        <f t="shared" si="2"/>
        <v>64240.768052565276</v>
      </c>
      <c r="X163" s="47">
        <f t="shared" si="3"/>
        <v>4300000</v>
      </c>
      <c r="Y163">
        <v>94</v>
      </c>
      <c r="Z163" s="50">
        <v>34</v>
      </c>
      <c r="AA163" s="47">
        <f t="shared" si="9"/>
        <v>1424312.0258517307</v>
      </c>
      <c r="AB163" s="47">
        <f t="shared" si="4"/>
        <v>50501.859412959951</v>
      </c>
      <c r="AC163" s="47">
        <f t="shared" si="5"/>
        <v>4747.7067528391026</v>
      </c>
      <c r="AD163" s="52">
        <f t="shared" si="6"/>
        <v>55249.566165799057</v>
      </c>
      <c r="AE163" s="47">
        <f t="shared" si="7"/>
        <v>1373810.1664387707</v>
      </c>
    </row>
    <row r="164" spans="4:31" ht="14.4" thickBot="1" x14ac:dyDescent="0.3">
      <c r="H164" s="29" t="s">
        <v>1</v>
      </c>
      <c r="I164" s="29"/>
      <c r="K164" s="34"/>
      <c r="L164" s="34" t="s">
        <v>2</v>
      </c>
      <c r="M164" s="34"/>
      <c r="N164" s="34"/>
      <c r="S164" s="46">
        <v>35</v>
      </c>
      <c r="T164" s="47">
        <f t="shared" si="8"/>
        <v>4300000</v>
      </c>
      <c r="U164" s="47">
        <f t="shared" si="0"/>
        <v>50000</v>
      </c>
      <c r="V164" s="47">
        <f t="shared" si="1"/>
        <v>14077.081063455333</v>
      </c>
      <c r="W164" s="47">
        <f t="shared" si="2"/>
        <v>64077.081063455335</v>
      </c>
      <c r="X164" s="47">
        <f t="shared" si="3"/>
        <v>4250000</v>
      </c>
      <c r="Y164">
        <v>95</v>
      </c>
      <c r="Z164" s="50">
        <v>35</v>
      </c>
      <c r="AA164" s="47">
        <f t="shared" si="9"/>
        <v>1373810.1664387707</v>
      </c>
      <c r="AB164" s="47">
        <f t="shared" si="4"/>
        <v>50670.198944336487</v>
      </c>
      <c r="AC164" s="47">
        <f t="shared" si="5"/>
        <v>4579.3672214625694</v>
      </c>
      <c r="AD164" s="52">
        <f t="shared" si="6"/>
        <v>55249.566165799057</v>
      </c>
      <c r="AE164" s="47">
        <f t="shared" si="7"/>
        <v>1323139.9674944342</v>
      </c>
    </row>
    <row r="165" spans="4:31" ht="14.4" thickBot="1" x14ac:dyDescent="0.3">
      <c r="H165" s="29">
        <v>100000</v>
      </c>
      <c r="I165" s="29" t="s">
        <v>13</v>
      </c>
      <c r="K165" s="35">
        <v>0.02</v>
      </c>
      <c r="L165" s="34" t="s">
        <v>77</v>
      </c>
      <c r="M165" s="35">
        <v>0.01</v>
      </c>
      <c r="N165" s="34" t="s">
        <v>80</v>
      </c>
      <c r="S165" s="46">
        <v>36</v>
      </c>
      <c r="T165" s="47">
        <f t="shared" si="8"/>
        <v>4250000</v>
      </c>
      <c r="U165" s="47">
        <f t="shared" si="0"/>
        <v>50000</v>
      </c>
      <c r="V165" s="47">
        <f t="shared" si="1"/>
        <v>13913.394074345386</v>
      </c>
      <c r="W165" s="47">
        <f t="shared" si="2"/>
        <v>63913.394074345386</v>
      </c>
      <c r="X165" s="47">
        <f t="shared" si="3"/>
        <v>4200000</v>
      </c>
      <c r="Y165">
        <v>96</v>
      </c>
      <c r="Z165" s="50">
        <v>36</v>
      </c>
      <c r="AA165" s="47">
        <f t="shared" si="9"/>
        <v>1323139.9674944342</v>
      </c>
      <c r="AB165" s="47">
        <f t="shared" si="4"/>
        <v>50839.099607484277</v>
      </c>
      <c r="AC165" s="47">
        <f t="shared" si="5"/>
        <v>4410.4665583147807</v>
      </c>
      <c r="AD165" s="52">
        <f t="shared" si="6"/>
        <v>55249.566165799057</v>
      </c>
      <c r="AE165" s="47">
        <f t="shared" si="7"/>
        <v>1272300.86788695</v>
      </c>
    </row>
    <row r="166" spans="4:31" ht="14.4" thickBot="1" x14ac:dyDescent="0.3">
      <c r="H166" s="29">
        <v>3</v>
      </c>
      <c r="I166" s="29" t="s">
        <v>12</v>
      </c>
      <c r="K166" s="35">
        <v>0.02</v>
      </c>
      <c r="L166" s="34" t="s">
        <v>78</v>
      </c>
      <c r="M166" s="35">
        <v>0.02</v>
      </c>
      <c r="N166" s="34" t="s">
        <v>81</v>
      </c>
      <c r="S166" s="46">
        <v>37</v>
      </c>
      <c r="T166" s="47">
        <f t="shared" si="8"/>
        <v>4200000</v>
      </c>
      <c r="U166" s="47">
        <f t="shared" si="0"/>
        <v>50000</v>
      </c>
      <c r="V166" s="47">
        <f t="shared" si="1"/>
        <v>13749.707085235441</v>
      </c>
      <c r="W166" s="47">
        <f t="shared" si="2"/>
        <v>63749.707085235437</v>
      </c>
      <c r="X166" s="47">
        <f t="shared" si="3"/>
        <v>4150000</v>
      </c>
      <c r="Y166">
        <v>97</v>
      </c>
      <c r="Z166" s="50">
        <v>37</v>
      </c>
      <c r="AA166" s="47">
        <f t="shared" si="9"/>
        <v>1272300.86788695</v>
      </c>
      <c r="AB166" s="47">
        <f t="shared" si="4"/>
        <v>51008.563272842555</v>
      </c>
      <c r="AC166" s="47">
        <f t="shared" si="5"/>
        <v>4241.0028929565005</v>
      </c>
      <c r="AD166" s="52">
        <f t="shared" si="6"/>
        <v>55249.566165799057</v>
      </c>
      <c r="AE166" s="47">
        <f t="shared" si="7"/>
        <v>1221292.3046141076</v>
      </c>
    </row>
    <row r="167" spans="4:31" ht="14.4" thickBot="1" x14ac:dyDescent="0.3">
      <c r="H167" s="33">
        <v>0.03</v>
      </c>
      <c r="I167" s="29" t="s">
        <v>16</v>
      </c>
      <c r="K167" s="35">
        <v>0.04</v>
      </c>
      <c r="L167" s="34" t="s">
        <v>79</v>
      </c>
      <c r="M167" s="35">
        <v>0</v>
      </c>
      <c r="N167" s="34" t="s">
        <v>82</v>
      </c>
      <c r="S167" s="46">
        <v>38</v>
      </c>
      <c r="T167" s="47">
        <f t="shared" si="8"/>
        <v>4150000</v>
      </c>
      <c r="U167" s="47">
        <f t="shared" si="0"/>
        <v>50000</v>
      </c>
      <c r="V167" s="47">
        <f t="shared" si="1"/>
        <v>13586.020096125496</v>
      </c>
      <c r="W167" s="47">
        <f t="shared" si="2"/>
        <v>63586.020096125496</v>
      </c>
      <c r="X167" s="47">
        <f t="shared" si="3"/>
        <v>4100000</v>
      </c>
      <c r="Y167">
        <v>98</v>
      </c>
      <c r="Z167" s="50">
        <v>38</v>
      </c>
      <c r="AA167" s="47">
        <f t="shared" si="9"/>
        <v>1221292.3046141076</v>
      </c>
      <c r="AB167" s="47">
        <f t="shared" si="4"/>
        <v>51178.591817085362</v>
      </c>
      <c r="AC167" s="47">
        <f t="shared" si="5"/>
        <v>4070.9743487136921</v>
      </c>
      <c r="AD167" s="52">
        <f t="shared" si="6"/>
        <v>55249.566165799057</v>
      </c>
      <c r="AE167" s="47">
        <f t="shared" si="7"/>
        <v>1170113.7127970222</v>
      </c>
    </row>
    <row r="168" spans="4:31" ht="14.4" thickBot="1" x14ac:dyDescent="0.3">
      <c r="H168" s="30"/>
      <c r="I168" s="57">
        <f>FV(H167,H166,,-H165)</f>
        <v>109272.7</v>
      </c>
      <c r="J168" s="53"/>
      <c r="K168" s="53"/>
      <c r="L168" s="53"/>
      <c r="M168" s="53"/>
      <c r="N168" s="53"/>
      <c r="O168" s="3">
        <f>FV(K165,1,,H165)</f>
        <v>-102000</v>
      </c>
      <c r="P168" t="s">
        <v>83</v>
      </c>
      <c r="S168" s="46">
        <v>39</v>
      </c>
      <c r="T168" s="47">
        <f t="shared" si="8"/>
        <v>4100000</v>
      </c>
      <c r="U168" s="47">
        <f t="shared" si="0"/>
        <v>50000</v>
      </c>
      <c r="V168" s="47">
        <f t="shared" si="1"/>
        <v>13422.333107015549</v>
      </c>
      <c r="W168" s="47">
        <f t="shared" si="2"/>
        <v>63422.333107015547</v>
      </c>
      <c r="X168" s="47">
        <f t="shared" si="3"/>
        <v>4050000</v>
      </c>
      <c r="Y168">
        <v>99</v>
      </c>
      <c r="Z168" s="50">
        <v>39</v>
      </c>
      <c r="AA168" s="47">
        <f t="shared" si="9"/>
        <v>1170113.7127970222</v>
      </c>
      <c r="AB168" s="47">
        <f t="shared" si="4"/>
        <v>51349.187123142314</v>
      </c>
      <c r="AC168" s="47">
        <f t="shared" si="5"/>
        <v>3900.3790426567407</v>
      </c>
      <c r="AD168" s="52">
        <f t="shared" si="6"/>
        <v>55249.566165799057</v>
      </c>
      <c r="AE168" s="47">
        <f t="shared" si="7"/>
        <v>1118764.5256738798</v>
      </c>
    </row>
    <row r="169" spans="4:31" ht="14.4" thickBot="1" x14ac:dyDescent="0.3">
      <c r="H169" s="30"/>
      <c r="I169" s="30"/>
      <c r="O169" s="3">
        <f>FV(K166,1,,O168)</f>
        <v>104040</v>
      </c>
      <c r="P169" t="s">
        <v>84</v>
      </c>
      <c r="S169" s="46">
        <v>40</v>
      </c>
      <c r="T169" s="47">
        <f t="shared" si="8"/>
        <v>4050000</v>
      </c>
      <c r="U169" s="47">
        <f t="shared" si="0"/>
        <v>50000</v>
      </c>
      <c r="V169" s="47">
        <f t="shared" si="1"/>
        <v>13258.646117905604</v>
      </c>
      <c r="W169" s="47">
        <f t="shared" si="2"/>
        <v>63258.646117905606</v>
      </c>
      <c r="X169" s="47">
        <f t="shared" si="3"/>
        <v>4000000</v>
      </c>
      <c r="Y169">
        <v>100</v>
      </c>
      <c r="Z169" s="50">
        <v>40</v>
      </c>
      <c r="AA169" s="47">
        <f t="shared" si="9"/>
        <v>1118764.5256738798</v>
      </c>
      <c r="AB169" s="47">
        <f t="shared" si="4"/>
        <v>51520.351080219458</v>
      </c>
      <c r="AC169" s="47">
        <f t="shared" si="5"/>
        <v>3729.2150855795994</v>
      </c>
      <c r="AD169" s="52">
        <f t="shared" si="6"/>
        <v>55249.566165799057</v>
      </c>
      <c r="AE169" s="47">
        <f t="shared" si="7"/>
        <v>1067244.1745936603</v>
      </c>
    </row>
    <row r="170" spans="4:31" ht="14.4" thickBot="1" x14ac:dyDescent="0.3">
      <c r="O170" s="55">
        <f>FV(K167,1,,-O169)*(1+M165)*(1+M166)*(1+M167)</f>
        <v>111469.28832000001</v>
      </c>
      <c r="P170" s="56" t="s">
        <v>85</v>
      </c>
      <c r="S170" s="46">
        <v>41</v>
      </c>
      <c r="T170" s="47">
        <f t="shared" si="8"/>
        <v>4000000</v>
      </c>
      <c r="U170" s="47">
        <f t="shared" si="0"/>
        <v>50000</v>
      </c>
      <c r="V170" s="47">
        <f t="shared" si="1"/>
        <v>13094.959128795657</v>
      </c>
      <c r="W170" s="47">
        <f t="shared" si="2"/>
        <v>63094.959128795657</v>
      </c>
      <c r="X170" s="47">
        <f t="shared" si="3"/>
        <v>3950000</v>
      </c>
      <c r="Y170">
        <v>101</v>
      </c>
      <c r="Z170" s="50">
        <v>41</v>
      </c>
      <c r="AA170" s="47">
        <f t="shared" si="9"/>
        <v>1067244.1745936603</v>
      </c>
      <c r="AB170" s="47">
        <f t="shared" si="4"/>
        <v>51692.08558382019</v>
      </c>
      <c r="AC170" s="47">
        <f t="shared" si="5"/>
        <v>3557.480581978868</v>
      </c>
      <c r="AD170" s="52">
        <f t="shared" si="6"/>
        <v>55249.566165799057</v>
      </c>
      <c r="AE170" s="47">
        <f t="shared" si="7"/>
        <v>1015552.08900984</v>
      </c>
    </row>
    <row r="171" spans="4:31" ht="14.4" thickBot="1" x14ac:dyDescent="0.3">
      <c r="S171" s="46">
        <v>42</v>
      </c>
      <c r="T171" s="47">
        <f t="shared" si="8"/>
        <v>3950000</v>
      </c>
      <c r="U171" s="47">
        <f t="shared" si="0"/>
        <v>50000</v>
      </c>
      <c r="V171" s="47">
        <f t="shared" si="1"/>
        <v>12931.272139685712</v>
      </c>
      <c r="W171" s="47">
        <f t="shared" si="2"/>
        <v>62931.272139685709</v>
      </c>
      <c r="X171" s="47">
        <f t="shared" si="3"/>
        <v>3900000</v>
      </c>
      <c r="Y171">
        <v>102</v>
      </c>
      <c r="Z171" s="50">
        <v>42</v>
      </c>
      <c r="AA171" s="47">
        <f t="shared" si="9"/>
        <v>1015552.08900984</v>
      </c>
      <c r="AB171" s="47">
        <f t="shared" si="4"/>
        <v>51864.392535766259</v>
      </c>
      <c r="AC171" s="47">
        <f t="shared" si="5"/>
        <v>3385.1736300328002</v>
      </c>
      <c r="AD171" s="52">
        <f t="shared" si="6"/>
        <v>55249.566165799057</v>
      </c>
      <c r="AE171" s="47">
        <f t="shared" si="7"/>
        <v>963687.6964740738</v>
      </c>
    </row>
    <row r="172" spans="4:31" ht="14.4" thickBot="1" x14ac:dyDescent="0.3">
      <c r="D172" t="s">
        <v>1</v>
      </c>
      <c r="S172" s="46">
        <v>43</v>
      </c>
      <c r="T172" s="47">
        <f t="shared" si="8"/>
        <v>3900000</v>
      </c>
      <c r="U172" s="47">
        <f t="shared" si="0"/>
        <v>50000</v>
      </c>
      <c r="V172" s="47">
        <f t="shared" si="1"/>
        <v>12767.585150575767</v>
      </c>
      <c r="W172" s="47">
        <f t="shared" si="2"/>
        <v>62767.585150575767</v>
      </c>
      <c r="X172" s="47">
        <f t="shared" si="3"/>
        <v>3850000</v>
      </c>
      <c r="Y172">
        <v>103</v>
      </c>
      <c r="Z172" s="50">
        <v>43</v>
      </c>
      <c r="AA172" s="47">
        <f t="shared" si="9"/>
        <v>963687.6964740738</v>
      </c>
      <c r="AB172" s="47">
        <f t="shared" si="4"/>
        <v>52037.273844218813</v>
      </c>
      <c r="AC172" s="47">
        <f t="shared" si="5"/>
        <v>3212.2923215802462</v>
      </c>
      <c r="AD172" s="52">
        <f t="shared" si="6"/>
        <v>55249.566165799057</v>
      </c>
      <c r="AE172" s="47">
        <f t="shared" si="7"/>
        <v>911650.42262985499</v>
      </c>
    </row>
    <row r="173" spans="4:31" ht="14.4" thickBot="1" x14ac:dyDescent="0.3">
      <c r="S173" s="46">
        <v>44</v>
      </c>
      <c r="T173" s="47">
        <f t="shared" si="8"/>
        <v>3850000</v>
      </c>
      <c r="U173" s="47">
        <f t="shared" si="0"/>
        <v>50000</v>
      </c>
      <c r="V173" s="47">
        <f t="shared" si="1"/>
        <v>12603.898161465821</v>
      </c>
      <c r="W173" s="47">
        <f t="shared" si="2"/>
        <v>62603.898161465819</v>
      </c>
      <c r="X173" s="47">
        <f t="shared" si="3"/>
        <v>3800000</v>
      </c>
      <c r="Y173">
        <v>104</v>
      </c>
      <c r="Z173" s="50">
        <v>44</v>
      </c>
      <c r="AA173" s="47">
        <f t="shared" si="9"/>
        <v>911650.42262985499</v>
      </c>
      <c r="AB173" s="47">
        <f t="shared" si="4"/>
        <v>52210.731423699537</v>
      </c>
      <c r="AC173" s="47">
        <f t="shared" si="5"/>
        <v>3038.8347420995169</v>
      </c>
      <c r="AD173" s="52">
        <f t="shared" si="6"/>
        <v>55249.566165799057</v>
      </c>
      <c r="AE173" s="47">
        <f t="shared" si="7"/>
        <v>859439.69120615546</v>
      </c>
    </row>
    <row r="174" spans="4:31" ht="14.4" thickBot="1" x14ac:dyDescent="0.3">
      <c r="S174" s="46">
        <v>45</v>
      </c>
      <c r="T174" s="47">
        <f t="shared" si="8"/>
        <v>3800000</v>
      </c>
      <c r="U174" s="47">
        <f t="shared" si="0"/>
        <v>50000</v>
      </c>
      <c r="V174" s="47">
        <f t="shared" si="1"/>
        <v>12440.211172355876</v>
      </c>
      <c r="W174" s="47">
        <f t="shared" si="2"/>
        <v>62440.211172355877</v>
      </c>
      <c r="X174" s="47">
        <f t="shared" si="3"/>
        <v>3750000</v>
      </c>
      <c r="Y174">
        <v>105</v>
      </c>
      <c r="Z174" s="50">
        <v>45</v>
      </c>
      <c r="AA174" s="47">
        <f t="shared" si="9"/>
        <v>859439.69120615546</v>
      </c>
      <c r="AB174" s="47">
        <f t="shared" si="4"/>
        <v>52384.767195111868</v>
      </c>
      <c r="AC174" s="47">
        <f t="shared" si="5"/>
        <v>2864.7989706871849</v>
      </c>
      <c r="AD174" s="52">
        <f t="shared" si="6"/>
        <v>55249.566165799057</v>
      </c>
      <c r="AE174" s="47">
        <f t="shared" si="7"/>
        <v>807054.92401104362</v>
      </c>
    </row>
    <row r="175" spans="4:31" ht="14.4" thickBot="1" x14ac:dyDescent="0.3">
      <c r="S175" s="46">
        <v>46</v>
      </c>
      <c r="T175" s="47">
        <f t="shared" si="8"/>
        <v>3750000</v>
      </c>
      <c r="U175" s="47">
        <f t="shared" si="0"/>
        <v>50000</v>
      </c>
      <c r="V175" s="47">
        <f t="shared" si="1"/>
        <v>12276.524183245929</v>
      </c>
      <c r="W175" s="47">
        <f t="shared" si="2"/>
        <v>62276.524183245929</v>
      </c>
      <c r="X175" s="47">
        <f t="shared" si="3"/>
        <v>3700000</v>
      </c>
      <c r="Y175">
        <v>106</v>
      </c>
      <c r="Z175" s="50">
        <v>46</v>
      </c>
      <c r="AA175" s="47">
        <f t="shared" si="9"/>
        <v>807054.92401104362</v>
      </c>
      <c r="AB175" s="47">
        <f t="shared" si="4"/>
        <v>52559.383085762245</v>
      </c>
      <c r="AC175" s="47">
        <f t="shared" si="5"/>
        <v>2690.183080036812</v>
      </c>
      <c r="AD175" s="52">
        <f t="shared" si="6"/>
        <v>55249.566165799057</v>
      </c>
      <c r="AE175" s="47">
        <f t="shared" si="7"/>
        <v>754495.54092528136</v>
      </c>
    </row>
    <row r="176" spans="4:31" ht="14.4" thickBot="1" x14ac:dyDescent="0.3">
      <c r="S176" s="46">
        <v>47</v>
      </c>
      <c r="T176" s="47">
        <f t="shared" si="8"/>
        <v>3700000</v>
      </c>
      <c r="U176" s="47">
        <f t="shared" si="0"/>
        <v>50000</v>
      </c>
      <c r="V176" s="47">
        <f t="shared" si="1"/>
        <v>12112.837194135984</v>
      </c>
      <c r="W176" s="47">
        <f t="shared" si="2"/>
        <v>62112.83719413598</v>
      </c>
      <c r="X176" s="47">
        <f t="shared" si="3"/>
        <v>3650000</v>
      </c>
      <c r="Y176">
        <v>107</v>
      </c>
      <c r="Z176" s="50">
        <v>47</v>
      </c>
      <c r="AA176" s="47">
        <f t="shared" si="9"/>
        <v>754495.54092528136</v>
      </c>
      <c r="AB176" s="47">
        <f t="shared" si="4"/>
        <v>52734.58102938145</v>
      </c>
      <c r="AC176" s="47">
        <f t="shared" si="5"/>
        <v>2514.9851364176047</v>
      </c>
      <c r="AD176" s="52">
        <f t="shared" si="6"/>
        <v>55249.566165799057</v>
      </c>
      <c r="AE176" s="47">
        <f t="shared" si="7"/>
        <v>701760.95989589987</v>
      </c>
    </row>
    <row r="177" spans="14:31" ht="14.4" thickBot="1" x14ac:dyDescent="0.3">
      <c r="S177" s="46">
        <v>48</v>
      </c>
      <c r="T177" s="47">
        <f t="shared" si="8"/>
        <v>3650000</v>
      </c>
      <c r="U177" s="47">
        <f t="shared" si="0"/>
        <v>50000</v>
      </c>
      <c r="V177" s="47">
        <f t="shared" si="1"/>
        <v>11949.150205026039</v>
      </c>
      <c r="W177" s="47">
        <f t="shared" si="2"/>
        <v>61949.150205026039</v>
      </c>
      <c r="X177" s="47">
        <f t="shared" si="3"/>
        <v>3600000</v>
      </c>
      <c r="Y177">
        <v>108</v>
      </c>
      <c r="Z177" s="50">
        <v>48</v>
      </c>
      <c r="AA177" s="47">
        <f t="shared" si="9"/>
        <v>701760.95989589987</v>
      </c>
      <c r="AB177" s="47">
        <f t="shared" si="4"/>
        <v>52910.362966146058</v>
      </c>
      <c r="AC177" s="47">
        <f t="shared" si="5"/>
        <v>2339.2031996529995</v>
      </c>
      <c r="AD177" s="52">
        <f t="shared" si="6"/>
        <v>55249.566165799057</v>
      </c>
      <c r="AE177" s="47">
        <f t="shared" si="7"/>
        <v>648850.59692975378</v>
      </c>
    </row>
    <row r="178" spans="14:31" ht="14.4" thickBot="1" x14ac:dyDescent="0.3">
      <c r="S178" s="46">
        <v>49</v>
      </c>
      <c r="T178" s="47">
        <f t="shared" si="8"/>
        <v>3600000</v>
      </c>
      <c r="U178" s="47">
        <f t="shared" si="0"/>
        <v>50000</v>
      </c>
      <c r="V178" s="47">
        <f t="shared" si="1"/>
        <v>11785.463215916092</v>
      </c>
      <c r="W178" s="47">
        <f t="shared" si="2"/>
        <v>61785.46321591609</v>
      </c>
      <c r="X178" s="47">
        <f t="shared" si="3"/>
        <v>3550000</v>
      </c>
      <c r="Y178">
        <v>109</v>
      </c>
      <c r="Z178" s="50">
        <v>49</v>
      </c>
      <c r="AA178" s="47">
        <f t="shared" si="9"/>
        <v>648850.59692975378</v>
      </c>
      <c r="AB178" s="47">
        <f t="shared" si="4"/>
        <v>53086.730842699879</v>
      </c>
      <c r="AC178" s="47">
        <f t="shared" si="5"/>
        <v>2162.8353230991793</v>
      </c>
      <c r="AD178" s="52">
        <f t="shared" si="6"/>
        <v>55249.566165799057</v>
      </c>
      <c r="AE178" s="47">
        <f t="shared" si="7"/>
        <v>595763.8660870539</v>
      </c>
    </row>
    <row r="179" spans="14:31" ht="14.4" thickBot="1" x14ac:dyDescent="0.3">
      <c r="S179" s="46">
        <v>50</v>
      </c>
      <c r="T179" s="47">
        <f t="shared" si="8"/>
        <v>3550000</v>
      </c>
      <c r="U179" s="47">
        <f t="shared" si="0"/>
        <v>50000</v>
      </c>
      <c r="V179" s="47">
        <f t="shared" si="1"/>
        <v>11621.776226806147</v>
      </c>
      <c r="W179" s="47">
        <f t="shared" si="2"/>
        <v>61621.776226806149</v>
      </c>
      <c r="X179" s="47">
        <f t="shared" si="3"/>
        <v>3500000</v>
      </c>
      <c r="Y179">
        <v>110</v>
      </c>
      <c r="Z179" s="50">
        <v>50</v>
      </c>
      <c r="AA179" s="47">
        <f t="shared" si="9"/>
        <v>595763.8660870539</v>
      </c>
      <c r="AB179" s="47">
        <f t="shared" si="4"/>
        <v>53263.686612175545</v>
      </c>
      <c r="AC179" s="47">
        <f t="shared" si="5"/>
        <v>1985.8795536235132</v>
      </c>
      <c r="AD179" s="52">
        <f t="shared" si="6"/>
        <v>55249.566165799057</v>
      </c>
      <c r="AE179" s="47">
        <f t="shared" si="7"/>
        <v>542500.17947487836</v>
      </c>
    </row>
    <row r="180" spans="14:31" ht="14.4" thickBot="1" x14ac:dyDescent="0.3">
      <c r="S180" s="46">
        <v>51</v>
      </c>
      <c r="T180" s="47">
        <f t="shared" si="8"/>
        <v>3500000</v>
      </c>
      <c r="U180" s="47">
        <f t="shared" si="0"/>
        <v>50000</v>
      </c>
      <c r="V180" s="47">
        <f t="shared" si="1"/>
        <v>11458.0892376962</v>
      </c>
      <c r="W180" s="47">
        <f t="shared" si="2"/>
        <v>61458.0892376962</v>
      </c>
      <c r="X180" s="47">
        <f t="shared" si="3"/>
        <v>3450000</v>
      </c>
      <c r="Y180">
        <v>111</v>
      </c>
      <c r="Z180" s="50">
        <v>51</v>
      </c>
      <c r="AA180" s="47">
        <f t="shared" si="9"/>
        <v>542500.17947487836</v>
      </c>
      <c r="AB180" s="47">
        <f t="shared" si="4"/>
        <v>53441.232234216128</v>
      </c>
      <c r="AC180" s="47">
        <f t="shared" si="5"/>
        <v>1808.333931582928</v>
      </c>
      <c r="AD180" s="52">
        <f t="shared" si="6"/>
        <v>55249.566165799057</v>
      </c>
      <c r="AE180" s="47">
        <f t="shared" si="7"/>
        <v>489058.94724066224</v>
      </c>
    </row>
    <row r="181" spans="14:31" ht="14.4" thickBot="1" x14ac:dyDescent="0.3">
      <c r="S181" s="46">
        <v>52</v>
      </c>
      <c r="T181" s="47">
        <f t="shared" si="8"/>
        <v>3450000</v>
      </c>
      <c r="U181" s="47">
        <f t="shared" si="0"/>
        <v>50000</v>
      </c>
      <c r="V181" s="47">
        <f t="shared" si="1"/>
        <v>11294.402248586255</v>
      </c>
      <c r="W181" s="47">
        <f t="shared" si="2"/>
        <v>61294.402248586252</v>
      </c>
      <c r="X181" s="47">
        <f t="shared" si="3"/>
        <v>3400000</v>
      </c>
      <c r="Y181">
        <v>112</v>
      </c>
      <c r="Z181" s="50">
        <v>52</v>
      </c>
      <c r="AA181" s="47">
        <f t="shared" si="9"/>
        <v>489058.94724066224</v>
      </c>
      <c r="AB181" s="47">
        <f t="shared" si="4"/>
        <v>53619.369674996851</v>
      </c>
      <c r="AC181" s="47">
        <f t="shared" si="5"/>
        <v>1630.1964908022076</v>
      </c>
      <c r="AD181" s="52">
        <f t="shared" si="6"/>
        <v>55249.566165799057</v>
      </c>
      <c r="AE181" s="47">
        <f t="shared" si="7"/>
        <v>435439.57756566536</v>
      </c>
    </row>
    <row r="182" spans="14:31" ht="14.4" thickBot="1" x14ac:dyDescent="0.3">
      <c r="S182" s="46">
        <v>53</v>
      </c>
      <c r="T182" s="47">
        <f t="shared" si="8"/>
        <v>3400000</v>
      </c>
      <c r="U182" s="47">
        <f t="shared" si="0"/>
        <v>50000</v>
      </c>
      <c r="V182" s="47">
        <f t="shared" si="1"/>
        <v>11130.715259476308</v>
      </c>
      <c r="W182" s="47">
        <f t="shared" si="2"/>
        <v>61130.71525947631</v>
      </c>
      <c r="X182" s="47">
        <f t="shared" si="3"/>
        <v>3350000</v>
      </c>
      <c r="Y182">
        <v>113</v>
      </c>
      <c r="Z182" s="50">
        <v>53</v>
      </c>
      <c r="AA182" s="47">
        <f t="shared" si="9"/>
        <v>435439.57756566536</v>
      </c>
      <c r="AB182" s="47">
        <f t="shared" si="4"/>
        <v>53798.100907246837</v>
      </c>
      <c r="AC182" s="47">
        <f t="shared" si="5"/>
        <v>1451.4652585522178</v>
      </c>
      <c r="AD182" s="52">
        <f t="shared" si="6"/>
        <v>55249.566165799057</v>
      </c>
      <c r="AE182" s="47">
        <f t="shared" si="7"/>
        <v>381641.47665841854</v>
      </c>
    </row>
    <row r="183" spans="14:31" ht="14.4" thickBot="1" x14ac:dyDescent="0.3">
      <c r="S183" s="46">
        <v>54</v>
      </c>
      <c r="T183" s="47">
        <f t="shared" si="8"/>
        <v>3350000</v>
      </c>
      <c r="U183" s="47">
        <f t="shared" si="0"/>
        <v>50000</v>
      </c>
      <c r="V183" s="47">
        <f t="shared" si="1"/>
        <v>10967.028270366363</v>
      </c>
      <c r="W183" s="47">
        <f t="shared" si="2"/>
        <v>60967.028270366362</v>
      </c>
      <c r="X183" s="47">
        <f t="shared" si="3"/>
        <v>3300000</v>
      </c>
      <c r="Y183">
        <v>114</v>
      </c>
      <c r="Z183" s="50">
        <v>54</v>
      </c>
      <c r="AA183" s="47">
        <f t="shared" si="9"/>
        <v>381641.47665841854</v>
      </c>
      <c r="AB183" s="47">
        <f t="shared" si="4"/>
        <v>53977.427910270992</v>
      </c>
      <c r="AC183" s="47">
        <f t="shared" si="5"/>
        <v>1272.1382555280618</v>
      </c>
      <c r="AD183" s="52">
        <f t="shared" si="6"/>
        <v>55249.566165799057</v>
      </c>
      <c r="AE183" s="47">
        <f t="shared" si="7"/>
        <v>327664.04874814756</v>
      </c>
    </row>
    <row r="184" spans="14:31" ht="14.4" thickBot="1" x14ac:dyDescent="0.3">
      <c r="S184" s="46">
        <v>55</v>
      </c>
      <c r="T184" s="47">
        <f t="shared" si="8"/>
        <v>3300000</v>
      </c>
      <c r="U184" s="47">
        <f t="shared" si="0"/>
        <v>50000</v>
      </c>
      <c r="V184" s="47">
        <f t="shared" si="1"/>
        <v>10803.341281256418</v>
      </c>
      <c r="W184" s="47">
        <f t="shared" si="2"/>
        <v>60803.34128125642</v>
      </c>
      <c r="X184" s="47">
        <f t="shared" si="3"/>
        <v>3250000</v>
      </c>
      <c r="Y184">
        <v>115</v>
      </c>
      <c r="Z184" s="50">
        <v>55</v>
      </c>
      <c r="AA184" s="47">
        <f t="shared" si="9"/>
        <v>327664.04874814756</v>
      </c>
      <c r="AB184" s="47">
        <f t="shared" si="4"/>
        <v>54157.3526699719</v>
      </c>
      <c r="AC184" s="47">
        <f t="shared" si="5"/>
        <v>1092.2134958271586</v>
      </c>
      <c r="AD184" s="52">
        <f t="shared" si="6"/>
        <v>55249.566165799057</v>
      </c>
      <c r="AE184" s="47">
        <f t="shared" si="7"/>
        <v>273506.69607817568</v>
      </c>
    </row>
    <row r="185" spans="14:31" ht="14.4" thickBot="1" x14ac:dyDescent="0.3">
      <c r="S185" s="46">
        <v>56</v>
      </c>
      <c r="T185" s="47">
        <f t="shared" si="8"/>
        <v>3250000</v>
      </c>
      <c r="U185" s="47">
        <f t="shared" si="0"/>
        <v>50000</v>
      </c>
      <c r="V185" s="47">
        <f t="shared" si="1"/>
        <v>10639.654292146472</v>
      </c>
      <c r="W185" s="47">
        <f t="shared" si="2"/>
        <v>60639.654292146472</v>
      </c>
      <c r="X185" s="47">
        <f t="shared" si="3"/>
        <v>3200000</v>
      </c>
      <c r="Y185">
        <v>116</v>
      </c>
      <c r="Z185" s="50">
        <v>56</v>
      </c>
      <c r="AA185" s="47">
        <f t="shared" si="9"/>
        <v>273506.69607817568</v>
      </c>
      <c r="AB185" s="47">
        <f t="shared" si="4"/>
        <v>54337.877178871808</v>
      </c>
      <c r="AC185" s="47">
        <f t="shared" si="5"/>
        <v>911.68898692725236</v>
      </c>
      <c r="AD185" s="52">
        <f t="shared" si="6"/>
        <v>55249.566165799057</v>
      </c>
      <c r="AE185" s="47">
        <f t="shared" si="7"/>
        <v>219168.81889930388</v>
      </c>
    </row>
    <row r="186" spans="14:31" ht="14.4" thickBot="1" x14ac:dyDescent="0.3">
      <c r="S186" s="46">
        <v>57</v>
      </c>
      <c r="T186" s="47">
        <f t="shared" si="8"/>
        <v>3200000</v>
      </c>
      <c r="U186" s="47">
        <f t="shared" si="0"/>
        <v>50000</v>
      </c>
      <c r="V186" s="47">
        <f t="shared" si="1"/>
        <v>10475.967303036527</v>
      </c>
      <c r="W186" s="47">
        <f t="shared" si="2"/>
        <v>60475.967303036523</v>
      </c>
      <c r="X186" s="47">
        <f t="shared" si="3"/>
        <v>3150000</v>
      </c>
      <c r="Y186">
        <v>117</v>
      </c>
      <c r="Z186" s="50">
        <v>57</v>
      </c>
      <c r="AA186" s="47">
        <f t="shared" si="9"/>
        <v>219168.81889930388</v>
      </c>
      <c r="AB186" s="47">
        <f t="shared" si="4"/>
        <v>54519.003436134713</v>
      </c>
      <c r="AC186" s="47">
        <f t="shared" si="5"/>
        <v>730.56272966434631</v>
      </c>
      <c r="AD186" s="52">
        <f t="shared" si="6"/>
        <v>55249.566165799057</v>
      </c>
      <c r="AE186" s="47">
        <f t="shared" si="7"/>
        <v>164649.81546316916</v>
      </c>
    </row>
    <row r="187" spans="14:31" ht="14.4" thickBot="1" x14ac:dyDescent="0.3">
      <c r="S187" s="46">
        <v>58</v>
      </c>
      <c r="T187" s="47">
        <f t="shared" si="8"/>
        <v>3150000</v>
      </c>
      <c r="U187" s="47">
        <f t="shared" si="0"/>
        <v>50000</v>
      </c>
      <c r="V187" s="47">
        <f t="shared" si="1"/>
        <v>10312.28031392658</v>
      </c>
      <c r="W187" s="47">
        <f t="shared" si="2"/>
        <v>60312.280313926582</v>
      </c>
      <c r="X187" s="47">
        <f t="shared" si="3"/>
        <v>3100000</v>
      </c>
      <c r="Y187">
        <v>118</v>
      </c>
      <c r="Z187" s="50">
        <v>58</v>
      </c>
      <c r="AA187" s="47">
        <f t="shared" si="9"/>
        <v>164649.81546316916</v>
      </c>
      <c r="AB187" s="47">
        <f t="shared" si="4"/>
        <v>54700.733447588493</v>
      </c>
      <c r="AC187" s="47">
        <f t="shared" si="5"/>
        <v>548.83271821056394</v>
      </c>
      <c r="AD187" s="52">
        <f t="shared" si="6"/>
        <v>55249.566165799057</v>
      </c>
      <c r="AE187" s="47">
        <f t="shared" si="7"/>
        <v>109949.08201558067</v>
      </c>
    </row>
    <row r="188" spans="14:31" ht="14.4" thickBot="1" x14ac:dyDescent="0.3">
      <c r="S188" s="46">
        <v>59</v>
      </c>
      <c r="T188" s="47">
        <f t="shared" si="8"/>
        <v>3100000</v>
      </c>
      <c r="U188" s="47">
        <f t="shared" si="0"/>
        <v>50000</v>
      </c>
      <c r="V188" s="47">
        <f t="shared" si="1"/>
        <v>10148.593324816635</v>
      </c>
      <c r="W188" s="47">
        <f t="shared" si="2"/>
        <v>60148.593324816633</v>
      </c>
      <c r="X188" s="47">
        <f t="shared" si="3"/>
        <v>3050000</v>
      </c>
      <c r="Y188">
        <v>119</v>
      </c>
      <c r="Z188" s="50">
        <v>59</v>
      </c>
      <c r="AA188" s="47">
        <f t="shared" si="9"/>
        <v>109949.08201558067</v>
      </c>
      <c r="AB188" s="47">
        <f t="shared" si="4"/>
        <v>54883.069225747124</v>
      </c>
      <c r="AC188" s="47">
        <f t="shared" si="5"/>
        <v>366.49694005193561</v>
      </c>
      <c r="AD188" s="52">
        <f t="shared" si="6"/>
        <v>55249.566165799057</v>
      </c>
      <c r="AE188" s="47">
        <f t="shared" si="7"/>
        <v>55066.012789833549</v>
      </c>
    </row>
    <row r="189" spans="14:31" ht="14.4" thickBot="1" x14ac:dyDescent="0.3">
      <c r="S189" s="46">
        <v>60</v>
      </c>
      <c r="T189" s="47">
        <f t="shared" si="8"/>
        <v>3050000</v>
      </c>
      <c r="U189" s="47">
        <f t="shared" si="0"/>
        <v>50000</v>
      </c>
      <c r="V189" s="47">
        <f t="shared" si="1"/>
        <v>9984.9063357066898</v>
      </c>
      <c r="W189" s="47">
        <f t="shared" si="2"/>
        <v>59984.906335706692</v>
      </c>
      <c r="X189" s="47">
        <f t="shared" si="3"/>
        <v>3000000</v>
      </c>
      <c r="Y189" s="20">
        <v>120</v>
      </c>
      <c r="Z189" s="50">
        <v>60</v>
      </c>
      <c r="AA189" s="47">
        <f t="shared" si="9"/>
        <v>55066.012789833549</v>
      </c>
      <c r="AB189" s="47">
        <f t="shared" si="4"/>
        <v>55066.012789832945</v>
      </c>
      <c r="AC189" s="47">
        <f t="shared" si="5"/>
        <v>183.55337596611184</v>
      </c>
      <c r="AD189" s="52">
        <f t="shared" si="6"/>
        <v>55249.566165799057</v>
      </c>
      <c r="AE189" s="48">
        <f t="shared" si="7"/>
        <v>6.0390448197722435E-10</v>
      </c>
    </row>
    <row r="190" spans="14:31" ht="14.4" thickBot="1" x14ac:dyDescent="0.3">
      <c r="S190" s="46">
        <v>61</v>
      </c>
      <c r="T190" s="47">
        <f t="shared" si="8"/>
        <v>3000000</v>
      </c>
      <c r="U190" s="47">
        <f t="shared" si="0"/>
        <v>50000</v>
      </c>
      <c r="V190" s="47">
        <f t="shared" si="1"/>
        <v>9821.219346596743</v>
      </c>
      <c r="W190" s="47">
        <f t="shared" si="2"/>
        <v>59821.219346596743</v>
      </c>
      <c r="X190" s="47">
        <f t="shared" si="3"/>
        <v>2950000</v>
      </c>
    </row>
    <row r="191" spans="14:31" ht="14.4" thickBot="1" x14ac:dyDescent="0.3">
      <c r="S191" s="46">
        <v>62</v>
      </c>
      <c r="T191" s="47">
        <f t="shared" si="8"/>
        <v>2950000</v>
      </c>
      <c r="U191" s="47">
        <f t="shared" si="0"/>
        <v>50000</v>
      </c>
      <c r="V191" s="47">
        <f t="shared" si="1"/>
        <v>9657.532357486798</v>
      </c>
      <c r="W191" s="47">
        <f t="shared" si="2"/>
        <v>59657.532357486794</v>
      </c>
      <c r="X191" s="47">
        <f t="shared" si="3"/>
        <v>2900000</v>
      </c>
    </row>
    <row r="192" spans="14:31" ht="14.4" thickBot="1" x14ac:dyDescent="0.3">
      <c r="N192" s="29" t="s">
        <v>18</v>
      </c>
      <c r="O192" s="29" t="s">
        <v>8</v>
      </c>
      <c r="S192" s="46">
        <v>63</v>
      </c>
      <c r="T192" s="47">
        <f t="shared" si="8"/>
        <v>2900000</v>
      </c>
      <c r="U192" s="47">
        <f t="shared" si="0"/>
        <v>50000</v>
      </c>
      <c r="V192" s="47">
        <f t="shared" si="1"/>
        <v>9493.8453683768512</v>
      </c>
      <c r="W192" s="47">
        <f t="shared" si="2"/>
        <v>59493.845368376853</v>
      </c>
      <c r="X192" s="47">
        <f t="shared" si="3"/>
        <v>2850000</v>
      </c>
    </row>
    <row r="193" spans="9:24" ht="14.4" thickBot="1" x14ac:dyDescent="0.3">
      <c r="N193" s="30">
        <v>-200</v>
      </c>
      <c r="O193" s="30">
        <v>-800</v>
      </c>
      <c r="S193" s="46">
        <v>64</v>
      </c>
      <c r="T193" s="47">
        <f t="shared" si="8"/>
        <v>2850000</v>
      </c>
      <c r="U193" s="47">
        <f t="shared" si="0"/>
        <v>50000</v>
      </c>
      <c r="V193" s="47">
        <f t="shared" si="1"/>
        <v>9330.1583792669062</v>
      </c>
      <c r="W193" s="47">
        <f t="shared" si="2"/>
        <v>59330.158379266904</v>
      </c>
      <c r="X193" s="47">
        <f t="shared" si="3"/>
        <v>2800000</v>
      </c>
    </row>
    <row r="194" spans="9:24" ht="14.4" thickBot="1" x14ac:dyDescent="0.3">
      <c r="N194" s="30">
        <v>250</v>
      </c>
      <c r="O194" s="30">
        <v>500</v>
      </c>
      <c r="S194" s="46">
        <v>65</v>
      </c>
      <c r="T194" s="47">
        <f t="shared" si="8"/>
        <v>2800000</v>
      </c>
      <c r="U194" s="47">
        <f t="shared" si="0"/>
        <v>50000</v>
      </c>
      <c r="V194" s="47">
        <f t="shared" si="1"/>
        <v>9166.4713901569612</v>
      </c>
      <c r="W194" s="47">
        <f t="shared" si="2"/>
        <v>59166.471390156963</v>
      </c>
      <c r="X194" s="47">
        <f t="shared" si="3"/>
        <v>2750000</v>
      </c>
    </row>
    <row r="195" spans="9:24" ht="14.4" thickBot="1" x14ac:dyDescent="0.3">
      <c r="N195" s="30">
        <v>50</v>
      </c>
      <c r="O195" s="30">
        <v>400</v>
      </c>
      <c r="S195" s="46">
        <v>66</v>
      </c>
      <c r="T195" s="47">
        <f t="shared" si="8"/>
        <v>2750000</v>
      </c>
      <c r="U195" s="47">
        <f t="shared" ref="U195:U249" si="10">$T$128</f>
        <v>50000</v>
      </c>
      <c r="V195" s="47">
        <f t="shared" ref="V195:V249" si="11">$T$127*T195</f>
        <v>9002.7844010470144</v>
      </c>
      <c r="W195" s="47">
        <f t="shared" ref="W195:W249" si="12">V195+U195</f>
        <v>59002.784401047014</v>
      </c>
      <c r="X195" s="47">
        <f t="shared" ref="X195:X249" si="13">T195-U195</f>
        <v>2700000</v>
      </c>
    </row>
    <row r="196" spans="9:24" ht="14.4" thickBot="1" x14ac:dyDescent="0.3">
      <c r="N196" s="30">
        <v>50</v>
      </c>
      <c r="O196" s="30">
        <v>300</v>
      </c>
      <c r="S196" s="46">
        <v>67</v>
      </c>
      <c r="T196" s="47">
        <f t="shared" ref="T196:T249" si="14">X195</f>
        <v>2700000</v>
      </c>
      <c r="U196" s="47">
        <f t="shared" si="10"/>
        <v>50000</v>
      </c>
      <c r="V196" s="47">
        <f t="shared" si="11"/>
        <v>8839.0974119370694</v>
      </c>
      <c r="W196" s="47">
        <f t="shared" si="12"/>
        <v>58839.097411937066</v>
      </c>
      <c r="X196" s="47">
        <f t="shared" si="13"/>
        <v>2650000</v>
      </c>
    </row>
    <row r="197" spans="9:24" ht="14.4" thickBot="1" x14ac:dyDescent="0.3">
      <c r="I197" s="4">
        <f>IRR(N193:N196)</f>
        <v>0.52214382114682367</v>
      </c>
      <c r="J197" s="4">
        <f>IRR(O193:O196)</f>
        <v>0.25883537550961266</v>
      </c>
      <c r="S197" s="46">
        <v>68</v>
      </c>
      <c r="T197" s="47">
        <f t="shared" si="14"/>
        <v>2650000</v>
      </c>
      <c r="U197" s="47">
        <f t="shared" si="10"/>
        <v>50000</v>
      </c>
      <c r="V197" s="47">
        <f t="shared" si="11"/>
        <v>8675.4104228271226</v>
      </c>
      <c r="W197" s="47">
        <f t="shared" si="12"/>
        <v>58675.410422827124</v>
      </c>
      <c r="X197" s="47">
        <f t="shared" si="13"/>
        <v>2600000</v>
      </c>
    </row>
    <row r="198" spans="9:24" ht="14.4" thickBot="1" x14ac:dyDescent="0.3">
      <c r="J198" s="58"/>
      <c r="K198" s="58"/>
      <c r="L198" s="58"/>
      <c r="M198" s="58"/>
      <c r="N198" s="58"/>
      <c r="S198" s="46">
        <v>69</v>
      </c>
      <c r="T198" s="47">
        <f t="shared" si="14"/>
        <v>2600000</v>
      </c>
      <c r="U198" s="47">
        <f t="shared" si="10"/>
        <v>50000</v>
      </c>
      <c r="V198" s="47">
        <f t="shared" si="11"/>
        <v>8511.7234337171776</v>
      </c>
      <c r="W198" s="47">
        <f t="shared" si="12"/>
        <v>58511.723433717176</v>
      </c>
      <c r="X198" s="47">
        <f t="shared" si="13"/>
        <v>2550000</v>
      </c>
    </row>
    <row r="199" spans="9:24" ht="16.8" thickTop="1" thickBot="1" x14ac:dyDescent="0.35">
      <c r="I199" s="59" t="s">
        <v>87</v>
      </c>
      <c r="J199" s="59" t="s">
        <v>86</v>
      </c>
      <c r="K199" s="60"/>
      <c r="S199" s="46">
        <v>70</v>
      </c>
      <c r="T199" s="47">
        <f t="shared" si="14"/>
        <v>2550000</v>
      </c>
      <c r="U199" s="47">
        <f t="shared" si="10"/>
        <v>50000</v>
      </c>
      <c r="V199" s="47">
        <f t="shared" si="11"/>
        <v>8348.0364446072326</v>
      </c>
      <c r="W199" s="47">
        <f t="shared" si="12"/>
        <v>58348.036444607234</v>
      </c>
      <c r="X199" s="47">
        <f t="shared" si="13"/>
        <v>2500000</v>
      </c>
    </row>
    <row r="200" spans="9:24" ht="16.8" thickTop="1" thickBot="1" x14ac:dyDescent="0.35">
      <c r="I200" s="61">
        <f>NPV(K200,$N$194:$N$196)-200</f>
        <v>150</v>
      </c>
      <c r="J200" s="61">
        <f>NPV(K200,$O$194:$O196)-800</f>
        <v>400</v>
      </c>
      <c r="K200" s="62">
        <v>0</v>
      </c>
      <c r="S200" s="46">
        <v>71</v>
      </c>
      <c r="T200" s="47">
        <f t="shared" si="14"/>
        <v>2500000</v>
      </c>
      <c r="U200" s="47">
        <f t="shared" si="10"/>
        <v>50000</v>
      </c>
      <c r="V200" s="47">
        <f t="shared" si="11"/>
        <v>8184.3494554972858</v>
      </c>
      <c r="W200" s="47">
        <f t="shared" si="12"/>
        <v>58184.349455497286</v>
      </c>
      <c r="X200" s="47">
        <f t="shared" si="13"/>
        <v>2450000</v>
      </c>
    </row>
    <row r="201" spans="9:24" ht="16.8" thickTop="1" thickBot="1" x14ac:dyDescent="0.35">
      <c r="I201" s="61">
        <f t="shared" ref="I201:I224" si="15">NPV(K201,$N$194:$N$196)-200</f>
        <v>145.06906234197584</v>
      </c>
      <c r="J201" s="61">
        <f>NPV(K201,$O$194:$O197)-800</f>
        <v>378.34496909155678</v>
      </c>
      <c r="K201" s="62">
        <v>0.01</v>
      </c>
      <c r="S201" s="46">
        <v>72</v>
      </c>
      <c r="T201" s="47">
        <f t="shared" si="14"/>
        <v>2450000</v>
      </c>
      <c r="U201" s="47">
        <f t="shared" si="10"/>
        <v>50000</v>
      </c>
      <c r="V201" s="47">
        <f t="shared" si="11"/>
        <v>8020.6624663873408</v>
      </c>
      <c r="W201" s="47">
        <f t="shared" si="12"/>
        <v>58020.662466387337</v>
      </c>
      <c r="X201" s="47">
        <f t="shared" si="13"/>
        <v>2400000</v>
      </c>
    </row>
    <row r="202" spans="9:24" ht="16.8" thickTop="1" thickBot="1" x14ac:dyDescent="0.35">
      <c r="I202" s="61">
        <f t="shared" si="15"/>
        <v>140.27259500493773</v>
      </c>
      <c r="J202" s="61">
        <f>NPV(K202,$O$194:$O198)-800</f>
        <v>357.36029129067992</v>
      </c>
      <c r="K202" s="62">
        <v>0.02</v>
      </c>
      <c r="S202" s="46">
        <v>73</v>
      </c>
      <c r="T202" s="47">
        <f t="shared" si="14"/>
        <v>2400000</v>
      </c>
      <c r="U202" s="47">
        <f t="shared" si="10"/>
        <v>50000</v>
      </c>
      <c r="V202" s="47">
        <f t="shared" si="11"/>
        <v>7856.9754772773949</v>
      </c>
      <c r="W202" s="47">
        <f t="shared" si="12"/>
        <v>57856.975477277396</v>
      </c>
      <c r="X202" s="47">
        <f t="shared" si="13"/>
        <v>2350000</v>
      </c>
    </row>
    <row r="203" spans="9:24" ht="16.8" thickTop="1" thickBot="1" x14ac:dyDescent="0.35">
      <c r="I203" s="61">
        <f t="shared" si="15"/>
        <v>135.6053250262874</v>
      </c>
      <c r="J203" s="61">
        <f>NPV(K203,$O$194:$O199)-800</f>
        <v>337.01775466333333</v>
      </c>
      <c r="K203" s="62">
        <v>0.03</v>
      </c>
      <c r="S203" s="46">
        <v>74</v>
      </c>
      <c r="T203" s="47">
        <f t="shared" si="14"/>
        <v>2350000</v>
      </c>
      <c r="U203" s="47">
        <f t="shared" si="10"/>
        <v>50000</v>
      </c>
      <c r="V203" s="47">
        <f t="shared" si="11"/>
        <v>7693.288488167449</v>
      </c>
      <c r="W203" s="47">
        <f t="shared" si="12"/>
        <v>57693.288488167447</v>
      </c>
      <c r="X203" s="47">
        <f t="shared" si="13"/>
        <v>2300000</v>
      </c>
    </row>
    <row r="204" spans="9:24" ht="16.8" thickTop="1" thickBot="1" x14ac:dyDescent="0.35">
      <c r="I204" s="61">
        <f t="shared" si="15"/>
        <v>131.06224396904872</v>
      </c>
      <c r="J204" s="61">
        <f>NPV(K204,$O$194:$O200)-800</f>
        <v>317.29062357760586</v>
      </c>
      <c r="K204" s="62">
        <v>0.04</v>
      </c>
      <c r="S204" s="46">
        <v>75</v>
      </c>
      <c r="T204" s="47">
        <f t="shared" si="14"/>
        <v>2300000</v>
      </c>
      <c r="U204" s="47">
        <f t="shared" si="10"/>
        <v>50000</v>
      </c>
      <c r="V204" s="47">
        <f t="shared" si="11"/>
        <v>7529.6014990575031</v>
      </c>
      <c r="W204" s="47">
        <f t="shared" si="12"/>
        <v>57529.601499057506</v>
      </c>
      <c r="X204" s="47">
        <f t="shared" si="13"/>
        <v>2250000</v>
      </c>
    </row>
    <row r="205" spans="9:24" ht="16.8" thickTop="1" thickBot="1" x14ac:dyDescent="0.35">
      <c r="I205" s="61">
        <f t="shared" si="15"/>
        <v>126.63859194471434</v>
      </c>
      <c r="J205" s="61">
        <f>NPV(K205,$O$194:$O201)-800</f>
        <v>298.153547133139</v>
      </c>
      <c r="K205" s="62">
        <v>0.05</v>
      </c>
      <c r="S205" s="46">
        <v>76</v>
      </c>
      <c r="T205" s="47">
        <f t="shared" si="14"/>
        <v>2250000</v>
      </c>
      <c r="U205" s="47">
        <f t="shared" si="10"/>
        <v>50000</v>
      </c>
      <c r="V205" s="47">
        <f t="shared" si="11"/>
        <v>7365.9145099475572</v>
      </c>
      <c r="W205" s="47">
        <f t="shared" si="12"/>
        <v>57365.914509947557</v>
      </c>
      <c r="X205" s="47">
        <f t="shared" si="13"/>
        <v>2200000</v>
      </c>
    </row>
    <row r="206" spans="9:24" ht="16.8" thickTop="1" thickBot="1" x14ac:dyDescent="0.35">
      <c r="I206" s="61">
        <f t="shared" si="15"/>
        <v>122.32984275610067</v>
      </c>
      <c r="J206" s="61">
        <f>NPV(K206,$O$194:$O202)-800</f>
        <v>279.58247412293349</v>
      </c>
      <c r="K206" s="62">
        <v>0.06</v>
      </c>
      <c r="S206" s="46">
        <v>77</v>
      </c>
      <c r="T206" s="47">
        <f t="shared" si="14"/>
        <v>2200000</v>
      </c>
      <c r="U206" s="47">
        <f t="shared" si="10"/>
        <v>50000</v>
      </c>
      <c r="V206" s="47">
        <f t="shared" si="11"/>
        <v>7202.2275208376122</v>
      </c>
      <c r="W206" s="47">
        <f t="shared" si="12"/>
        <v>57202.227520837609</v>
      </c>
      <c r="X206" s="47">
        <f t="shared" si="13"/>
        <v>2150000</v>
      </c>
    </row>
    <row r="207" spans="9:24" ht="16.8" thickTop="1" thickBot="1" x14ac:dyDescent="0.35">
      <c r="I207" s="61">
        <f t="shared" si="15"/>
        <v>118.13169007128727</v>
      </c>
      <c r="J207" s="61">
        <f>NPV(K207,$O$194:$O203)-800</f>
        <v>261.55457400270825</v>
      </c>
      <c r="K207" s="62">
        <v>7.0000000000000007E-2</v>
      </c>
      <c r="S207" s="46">
        <v>78</v>
      </c>
      <c r="T207" s="47">
        <f t="shared" si="14"/>
        <v>2150000</v>
      </c>
      <c r="U207" s="47">
        <f t="shared" si="10"/>
        <v>50000</v>
      </c>
      <c r="V207" s="47">
        <f t="shared" si="11"/>
        <v>7038.5405317276663</v>
      </c>
      <c r="W207" s="47">
        <f t="shared" si="12"/>
        <v>57038.540531727667</v>
      </c>
      <c r="X207" s="47">
        <f t="shared" si="13"/>
        <v>2100000</v>
      </c>
    </row>
    <row r="208" spans="9:24" ht="16.8" thickTop="1" thickBot="1" x14ac:dyDescent="0.35">
      <c r="I208" s="61">
        <f t="shared" si="15"/>
        <v>114.04003454757907</v>
      </c>
      <c r="J208" s="61">
        <f>NPV(K208,$O$194:$O204)-800</f>
        <v>244.04816338972682</v>
      </c>
      <c r="K208" s="62">
        <v>0.08</v>
      </c>
      <c r="S208" s="46">
        <v>79</v>
      </c>
      <c r="T208" s="47">
        <f t="shared" si="14"/>
        <v>2100000</v>
      </c>
      <c r="U208" s="47">
        <f t="shared" si="10"/>
        <v>50000</v>
      </c>
      <c r="V208" s="47">
        <f t="shared" si="11"/>
        <v>6874.8535426177204</v>
      </c>
      <c r="W208" s="47">
        <f t="shared" si="12"/>
        <v>56874.853542617719</v>
      </c>
      <c r="X208" s="47">
        <f t="shared" si="13"/>
        <v>2050000</v>
      </c>
    </row>
    <row r="209" spans="9:24" ht="16.8" thickTop="1" thickBot="1" x14ac:dyDescent="0.35">
      <c r="I209" s="61">
        <f t="shared" si="15"/>
        <v>110.05097183151878</v>
      </c>
      <c r="J209" s="61">
        <f>NPV(K209,$O$194:$O205)-800</f>
        <v>227.04263765521841</v>
      </c>
      <c r="K209" s="62">
        <v>0.09</v>
      </c>
      <c r="S209" s="46">
        <v>80</v>
      </c>
      <c r="T209" s="47">
        <f t="shared" si="14"/>
        <v>2050000</v>
      </c>
      <c r="U209" s="47">
        <f t="shared" si="10"/>
        <v>50000</v>
      </c>
      <c r="V209" s="47">
        <f t="shared" si="11"/>
        <v>6711.1665535077746</v>
      </c>
      <c r="W209" s="47">
        <f t="shared" si="12"/>
        <v>56711.166553507777</v>
      </c>
      <c r="X209" s="47">
        <f t="shared" si="13"/>
        <v>2000000</v>
      </c>
    </row>
    <row r="210" spans="9:24" ht="16.8" thickTop="1" thickBot="1" x14ac:dyDescent="0.35">
      <c r="I210" s="61">
        <f t="shared" si="15"/>
        <v>106.16078136739293</v>
      </c>
      <c r="J210" s="61">
        <f>NPV(K210,$O$194:$O206)-800</f>
        <v>210.51840721262204</v>
      </c>
      <c r="K210" s="62">
        <v>0.1</v>
      </c>
      <c r="S210" s="46">
        <v>81</v>
      </c>
      <c r="T210" s="47">
        <f t="shared" si="14"/>
        <v>2000000</v>
      </c>
      <c r="U210" s="47">
        <f t="shared" si="10"/>
        <v>50000</v>
      </c>
      <c r="V210" s="47">
        <f t="shared" si="11"/>
        <v>6547.4795643978287</v>
      </c>
      <c r="W210" s="47">
        <f t="shared" si="12"/>
        <v>56547.479564397829</v>
      </c>
      <c r="X210" s="47">
        <f t="shared" si="13"/>
        <v>1950000</v>
      </c>
    </row>
    <row r="211" spans="9:24" ht="16.8" thickTop="1" thickBot="1" x14ac:dyDescent="0.35">
      <c r="I211" s="61">
        <f t="shared" si="15"/>
        <v>102.36591595247546</v>
      </c>
      <c r="J211" s="61">
        <f>NPV(K211,$O$194:$O207)-800</f>
        <v>194.45683813835728</v>
      </c>
      <c r="K211" s="62">
        <v>0.11</v>
      </c>
      <c r="S211" s="46">
        <v>82</v>
      </c>
      <c r="T211" s="47">
        <f t="shared" si="14"/>
        <v>1950000</v>
      </c>
      <c r="U211" s="47">
        <f t="shared" si="10"/>
        <v>50000</v>
      </c>
      <c r="V211" s="47">
        <f t="shared" si="11"/>
        <v>6383.7925752878837</v>
      </c>
      <c r="W211" s="47">
        <f t="shared" si="12"/>
        <v>56383.79257528788</v>
      </c>
      <c r="X211" s="47">
        <f t="shared" si="13"/>
        <v>1900000</v>
      </c>
    </row>
    <row r="212" spans="9:24" ht="16.8" thickTop="1" thickBot="1" x14ac:dyDescent="0.35">
      <c r="I212" s="61">
        <f t="shared" si="15"/>
        <v>98.662991982507208</v>
      </c>
      <c r="J212" s="61">
        <f>NPV(K212,$O$194:$O208)-800</f>
        <v>178.84019679300275</v>
      </c>
      <c r="K212" s="62">
        <v>0.12</v>
      </c>
      <c r="S212" s="46">
        <v>83</v>
      </c>
      <c r="T212" s="47">
        <f t="shared" si="14"/>
        <v>1900000</v>
      </c>
      <c r="U212" s="47">
        <f t="shared" si="10"/>
        <v>50000</v>
      </c>
      <c r="V212" s="47">
        <f t="shared" si="11"/>
        <v>6220.1055861779378</v>
      </c>
      <c r="W212" s="47">
        <f t="shared" si="12"/>
        <v>56220.105586177939</v>
      </c>
      <c r="X212" s="47">
        <f t="shared" si="13"/>
        <v>1850000</v>
      </c>
    </row>
    <row r="213" spans="9:24" ht="16.8" thickTop="1" thickBot="1" x14ac:dyDescent="0.35">
      <c r="I213" s="61">
        <f t="shared" si="15"/>
        <v>95.04878033567195</v>
      </c>
      <c r="J213" s="61">
        <f>NPV(K213,$O$194:$O209)-800</f>
        <v>163.65159813902187</v>
      </c>
      <c r="K213" s="62">
        <v>0.13</v>
      </c>
      <c r="S213" s="46">
        <v>84</v>
      </c>
      <c r="T213" s="47">
        <f t="shared" si="14"/>
        <v>1850000</v>
      </c>
      <c r="U213" s="47">
        <f t="shared" si="10"/>
        <v>50000</v>
      </c>
      <c r="V213" s="47">
        <f t="shared" si="11"/>
        <v>6056.4185970679919</v>
      </c>
      <c r="W213" s="47">
        <f t="shared" si="12"/>
        <v>56056.41859706799</v>
      </c>
      <c r="X213" s="47">
        <f t="shared" si="13"/>
        <v>1800000</v>
      </c>
    </row>
    <row r="214" spans="9:24" ht="16.8" thickTop="1" thickBot="1" x14ac:dyDescent="0.35">
      <c r="I214" s="61">
        <f t="shared" si="15"/>
        <v>91.52019784765082</v>
      </c>
      <c r="J214" s="61">
        <f>NPV(K214,$O$194:$O210)-800</f>
        <v>148.87495747679429</v>
      </c>
      <c r="K214" s="62">
        <v>0.14000000000000001</v>
      </c>
      <c r="S214" s="46">
        <v>85</v>
      </c>
      <c r="T214" s="47">
        <f t="shared" si="14"/>
        <v>1800000</v>
      </c>
      <c r="U214" s="47">
        <f t="shared" si="10"/>
        <v>50000</v>
      </c>
      <c r="V214" s="47">
        <f t="shared" si="11"/>
        <v>5892.731607958046</v>
      </c>
      <c r="W214" s="47">
        <f t="shared" si="12"/>
        <v>55892.731607958049</v>
      </c>
      <c r="X214" s="47">
        <f t="shared" si="13"/>
        <v>1750000</v>
      </c>
    </row>
    <row r="215" spans="9:24" ht="16.8" thickTop="1" thickBot="1" x14ac:dyDescent="0.35">
      <c r="I215" s="61">
        <f t="shared" si="15"/>
        <v>88.074299334264879</v>
      </c>
      <c r="J215" s="61">
        <f>NPV(K215,$O$194:$O211)-800</f>
        <v>134.49494534396331</v>
      </c>
      <c r="K215" s="62">
        <v>0.15</v>
      </c>
      <c r="S215" s="46">
        <v>86</v>
      </c>
      <c r="T215" s="47">
        <f t="shared" si="14"/>
        <v>1750000</v>
      </c>
      <c r="U215" s="47">
        <f t="shared" si="10"/>
        <v>50000</v>
      </c>
      <c r="V215" s="47">
        <f t="shared" si="11"/>
        <v>5729.0446188481001</v>
      </c>
      <c r="W215" s="47">
        <f t="shared" si="12"/>
        <v>55729.0446188481</v>
      </c>
      <c r="X215" s="47">
        <f t="shared" si="13"/>
        <v>1700000</v>
      </c>
    </row>
    <row r="216" spans="9:24" ht="16.8" thickTop="1" thickBot="1" x14ac:dyDescent="0.35">
      <c r="I216" s="61">
        <f t="shared" si="15"/>
        <v>84.708270121776252</v>
      </c>
      <c r="J216" s="61">
        <f>NPV(K216,$O$194:$O212)-800</f>
        <v>120.49694534421258</v>
      </c>
      <c r="K216" s="62">
        <v>0.16</v>
      </c>
      <c r="S216" s="46">
        <v>87</v>
      </c>
      <c r="T216" s="47">
        <f t="shared" si="14"/>
        <v>1700000</v>
      </c>
      <c r="U216" s="47">
        <f t="shared" si="10"/>
        <v>50000</v>
      </c>
      <c r="V216" s="47">
        <f t="shared" si="11"/>
        <v>5565.3576297381542</v>
      </c>
      <c r="W216" s="47">
        <f t="shared" si="12"/>
        <v>55565.357629738151</v>
      </c>
      <c r="X216" s="47">
        <f t="shared" si="13"/>
        <v>1650000</v>
      </c>
    </row>
    <row r="217" spans="9:24" ht="16.8" thickTop="1" thickBot="1" x14ac:dyDescent="0.35">
      <c r="I217" s="61">
        <f t="shared" si="15"/>
        <v>81.419419048172074</v>
      </c>
      <c r="J217" s="61">
        <f>NPV(K217,$O$194:$O213)-800</f>
        <v>106.86701469081493</v>
      </c>
      <c r="K217" s="62">
        <v>0.17</v>
      </c>
      <c r="S217" s="46">
        <v>88</v>
      </c>
      <c r="T217" s="47">
        <f t="shared" si="14"/>
        <v>1650000</v>
      </c>
      <c r="U217" s="47">
        <f t="shared" si="10"/>
        <v>50000</v>
      </c>
      <c r="V217" s="47">
        <f t="shared" si="11"/>
        <v>5401.6706406282092</v>
      </c>
      <c r="W217" s="47">
        <f t="shared" si="12"/>
        <v>55401.67064062821</v>
      </c>
      <c r="X217" s="47">
        <f t="shared" si="13"/>
        <v>1600000</v>
      </c>
    </row>
    <row r="218" spans="9:24" ht="16.8" thickTop="1" thickBot="1" x14ac:dyDescent="0.35">
      <c r="I218" s="61">
        <f t="shared" si="15"/>
        <v>78.20517190170375</v>
      </c>
      <c r="J218" s="61">
        <f>NPV(K218,$O$194:$O214)-800</f>
        <v>93.591847267734352</v>
      </c>
      <c r="K218" s="62">
        <v>0.18</v>
      </c>
      <c r="S218" s="46">
        <v>89</v>
      </c>
      <c r="T218" s="47">
        <f t="shared" si="14"/>
        <v>1600000</v>
      </c>
      <c r="U218" s="47">
        <f t="shared" si="10"/>
        <v>50000</v>
      </c>
      <c r="V218" s="47">
        <f t="shared" si="11"/>
        <v>5237.9836515182633</v>
      </c>
      <c r="W218" s="47">
        <f t="shared" si="12"/>
        <v>55237.983651518261</v>
      </c>
      <c r="X218" s="47">
        <f t="shared" si="13"/>
        <v>1550000</v>
      </c>
    </row>
    <row r="219" spans="9:24" ht="16.8" thickTop="1" thickBot="1" x14ac:dyDescent="0.35">
      <c r="I219" s="61">
        <f t="shared" si="15"/>
        <v>75.063065265651517</v>
      </c>
      <c r="J219" s="61">
        <f>NPV(K219,$O$194:$O215)-800</f>
        <v>80.658739026999797</v>
      </c>
      <c r="K219" s="62">
        <v>0.19</v>
      </c>
      <c r="S219" s="46">
        <v>90</v>
      </c>
      <c r="T219" s="47">
        <f t="shared" si="14"/>
        <v>1550000</v>
      </c>
      <c r="U219" s="47">
        <f t="shared" si="10"/>
        <v>50000</v>
      </c>
      <c r="V219" s="47">
        <f t="shared" si="11"/>
        <v>5074.2966624083174</v>
      </c>
      <c r="W219" s="47">
        <f t="shared" si="12"/>
        <v>55074.29666240832</v>
      </c>
      <c r="X219" s="47">
        <f t="shared" si="13"/>
        <v>1500000</v>
      </c>
    </row>
    <row r="220" spans="9:24" ht="16.8" thickTop="1" thickBot="1" x14ac:dyDescent="0.35">
      <c r="I220" s="61">
        <f t="shared" si="15"/>
        <v>71.990740740740762</v>
      </c>
      <c r="J220" s="61">
        <f>NPV(K220,$O$194:$O216)-800</f>
        <v>68.055555555555657</v>
      </c>
      <c r="K220" s="62">
        <v>0.2</v>
      </c>
      <c r="S220" s="46">
        <v>91</v>
      </c>
      <c r="T220" s="47">
        <f t="shared" si="14"/>
        <v>1500000</v>
      </c>
      <c r="U220" s="47">
        <f t="shared" si="10"/>
        <v>50000</v>
      </c>
      <c r="V220" s="47">
        <f t="shared" si="11"/>
        <v>4910.6096732983715</v>
      </c>
      <c r="W220" s="47">
        <f t="shared" si="12"/>
        <v>54910.609673298371</v>
      </c>
      <c r="X220" s="47">
        <f t="shared" si="13"/>
        <v>1450000</v>
      </c>
    </row>
    <row r="221" spans="9:24" ht="16.8" thickTop="1" thickBot="1" x14ac:dyDescent="0.35">
      <c r="I221" s="61">
        <f t="shared" si="15"/>
        <v>68.985939518876307</v>
      </c>
      <c r="J221" s="61">
        <f>NPV(K221,$O$194:$O217)-800</f>
        <v>55.770701658029452</v>
      </c>
      <c r="K221" s="62">
        <v>0.21</v>
      </c>
      <c r="S221" s="46">
        <v>92</v>
      </c>
      <c r="T221" s="47">
        <f t="shared" si="14"/>
        <v>1450000</v>
      </c>
      <c r="U221" s="47">
        <f t="shared" si="10"/>
        <v>50000</v>
      </c>
      <c r="V221" s="47">
        <f t="shared" si="11"/>
        <v>4746.9226841884256</v>
      </c>
      <c r="W221" s="47">
        <f t="shared" si="12"/>
        <v>54746.922684188423</v>
      </c>
      <c r="X221" s="47">
        <f t="shared" si="13"/>
        <v>1400000</v>
      </c>
    </row>
    <row r="222" spans="9:24" ht="16.8" thickTop="1" thickBot="1" x14ac:dyDescent="0.35">
      <c r="I222" s="61">
        <f t="shared" si="15"/>
        <v>66.046497283913652</v>
      </c>
      <c r="J222" s="61">
        <f>NPV(K222,$O$194:$O218)-800</f>
        <v>43.793092813935914</v>
      </c>
      <c r="K222" s="62">
        <v>0.22</v>
      </c>
      <c r="S222" s="46">
        <v>93</v>
      </c>
      <c r="T222" s="47">
        <f t="shared" si="14"/>
        <v>1400000</v>
      </c>
      <c r="U222" s="47">
        <f t="shared" si="10"/>
        <v>50000</v>
      </c>
      <c r="V222" s="47">
        <f t="shared" si="11"/>
        <v>4583.2356950784806</v>
      </c>
      <c r="W222" s="47">
        <f t="shared" si="12"/>
        <v>54583.235695078482</v>
      </c>
      <c r="X222" s="47">
        <f t="shared" si="13"/>
        <v>1350000</v>
      </c>
    </row>
    <row r="223" spans="9:24" ht="16.8" thickTop="1" thickBot="1" x14ac:dyDescent="0.35">
      <c r="I223" s="61">
        <f t="shared" si="15"/>
        <v>63.170339417056653</v>
      </c>
      <c r="J223" s="61">
        <f>NPV(K223,$O$194:$O219)-800</f>
        <v>32.112128378868647</v>
      </c>
      <c r="K223" s="62">
        <v>0.23</v>
      </c>
      <c r="S223" s="46">
        <v>94</v>
      </c>
      <c r="T223" s="47">
        <f t="shared" si="14"/>
        <v>1350000</v>
      </c>
      <c r="U223" s="47">
        <f t="shared" si="10"/>
        <v>50000</v>
      </c>
      <c r="V223" s="47">
        <f t="shared" si="11"/>
        <v>4419.5487059685347</v>
      </c>
      <c r="W223" s="47">
        <f t="shared" si="12"/>
        <v>54419.548705968533</v>
      </c>
      <c r="X223" s="47">
        <f t="shared" si="13"/>
        <v>1300000</v>
      </c>
    </row>
    <row r="224" spans="9:24" ht="16.8" thickTop="1" thickBot="1" x14ac:dyDescent="0.35">
      <c r="I224" s="61">
        <f t="shared" si="15"/>
        <v>60.355476486187115</v>
      </c>
      <c r="J224" s="61">
        <f>NPV(K224,$O$194:$O220)-800</f>
        <v>20.717666409318213</v>
      </c>
      <c r="K224" s="62">
        <v>0.24</v>
      </c>
      <c r="S224" s="46">
        <v>95</v>
      </c>
      <c r="T224" s="47">
        <f t="shared" si="14"/>
        <v>1300000</v>
      </c>
      <c r="U224" s="47">
        <f t="shared" si="10"/>
        <v>50000</v>
      </c>
      <c r="V224" s="47">
        <f t="shared" si="11"/>
        <v>4255.8617168585888</v>
      </c>
      <c r="W224" s="47">
        <f t="shared" si="12"/>
        <v>54255.861716858592</v>
      </c>
      <c r="X224" s="47">
        <f t="shared" si="13"/>
        <v>1250000</v>
      </c>
    </row>
    <row r="225" spans="10:24" ht="15" thickTop="1" thickBot="1" x14ac:dyDescent="0.3">
      <c r="S225" s="46">
        <v>96</v>
      </c>
      <c r="T225" s="47">
        <f t="shared" si="14"/>
        <v>1250000</v>
      </c>
      <c r="U225" s="47">
        <f t="shared" si="10"/>
        <v>50000</v>
      </c>
      <c r="V225" s="47">
        <f t="shared" si="11"/>
        <v>4092.1747277486429</v>
      </c>
      <c r="W225" s="47">
        <f t="shared" si="12"/>
        <v>54092.174727748643</v>
      </c>
      <c r="X225" s="47">
        <f t="shared" si="13"/>
        <v>1200000</v>
      </c>
    </row>
    <row r="226" spans="10:24" ht="14.4" thickBot="1" x14ac:dyDescent="0.3">
      <c r="J226" s="53"/>
      <c r="K226" s="53"/>
      <c r="L226" s="53"/>
      <c r="M226" s="53"/>
      <c r="N226" s="53"/>
      <c r="S226" s="46">
        <v>97</v>
      </c>
      <c r="T226" s="47">
        <f t="shared" si="14"/>
        <v>1200000</v>
      </c>
      <c r="U226" s="47">
        <f t="shared" si="10"/>
        <v>50000</v>
      </c>
      <c r="V226" s="47">
        <f t="shared" si="11"/>
        <v>3928.4877386386975</v>
      </c>
      <c r="W226" s="47">
        <f t="shared" si="12"/>
        <v>53928.487738638694</v>
      </c>
      <c r="X226" s="47">
        <f t="shared" si="13"/>
        <v>1150000</v>
      </c>
    </row>
    <row r="227" spans="10:24" ht="14.4" thickBot="1" x14ac:dyDescent="0.3">
      <c r="S227" s="46">
        <v>98</v>
      </c>
      <c r="T227" s="47">
        <f t="shared" si="14"/>
        <v>1150000</v>
      </c>
      <c r="U227" s="47">
        <f t="shared" si="10"/>
        <v>50000</v>
      </c>
      <c r="V227" s="47">
        <f t="shared" si="11"/>
        <v>3764.8007495287516</v>
      </c>
      <c r="W227" s="47">
        <f t="shared" si="12"/>
        <v>53764.800749528753</v>
      </c>
      <c r="X227" s="47">
        <f t="shared" si="13"/>
        <v>1100000</v>
      </c>
    </row>
    <row r="228" spans="10:24" ht="14.4" thickBot="1" x14ac:dyDescent="0.3">
      <c r="S228" s="46">
        <v>99</v>
      </c>
      <c r="T228" s="47">
        <f t="shared" si="14"/>
        <v>1100000</v>
      </c>
      <c r="U228" s="47">
        <f t="shared" si="10"/>
        <v>50000</v>
      </c>
      <c r="V228" s="47">
        <f t="shared" si="11"/>
        <v>3601.1137604188061</v>
      </c>
      <c r="W228" s="47">
        <f t="shared" si="12"/>
        <v>53601.113760418804</v>
      </c>
      <c r="X228" s="47">
        <f t="shared" si="13"/>
        <v>1050000</v>
      </c>
    </row>
    <row r="229" spans="10:24" ht="14.4" thickBot="1" x14ac:dyDescent="0.3">
      <c r="S229" s="46">
        <v>100</v>
      </c>
      <c r="T229" s="47">
        <f t="shared" si="14"/>
        <v>1050000</v>
      </c>
      <c r="U229" s="47">
        <f t="shared" si="10"/>
        <v>50000</v>
      </c>
      <c r="V229" s="47">
        <f t="shared" si="11"/>
        <v>3437.4267713088602</v>
      </c>
      <c r="W229" s="47">
        <f t="shared" si="12"/>
        <v>53437.426771308863</v>
      </c>
      <c r="X229" s="47">
        <f t="shared" si="13"/>
        <v>1000000</v>
      </c>
    </row>
    <row r="230" spans="10:24" ht="14.4" thickBot="1" x14ac:dyDescent="0.3">
      <c r="S230" s="46">
        <v>101</v>
      </c>
      <c r="T230" s="47">
        <f t="shared" si="14"/>
        <v>1000000</v>
      </c>
      <c r="U230" s="47">
        <f t="shared" si="10"/>
        <v>50000</v>
      </c>
      <c r="V230" s="47">
        <f t="shared" si="11"/>
        <v>3273.7397821989143</v>
      </c>
      <c r="W230" s="47">
        <f t="shared" si="12"/>
        <v>53273.739782198914</v>
      </c>
      <c r="X230" s="47">
        <f t="shared" si="13"/>
        <v>950000</v>
      </c>
    </row>
    <row r="231" spans="10:24" ht="14.4" thickBot="1" x14ac:dyDescent="0.3">
      <c r="S231" s="46">
        <v>102</v>
      </c>
      <c r="T231" s="47">
        <f t="shared" si="14"/>
        <v>950000</v>
      </c>
      <c r="U231" s="47">
        <f t="shared" si="10"/>
        <v>50000</v>
      </c>
      <c r="V231" s="47">
        <f t="shared" si="11"/>
        <v>3110.0527930889689</v>
      </c>
      <c r="W231" s="47">
        <f t="shared" si="12"/>
        <v>53110.052793088966</v>
      </c>
      <c r="X231" s="47">
        <f t="shared" si="13"/>
        <v>900000</v>
      </c>
    </row>
    <row r="232" spans="10:24" ht="14.4" thickBot="1" x14ac:dyDescent="0.3">
      <c r="S232" s="46">
        <v>103</v>
      </c>
      <c r="T232" s="47">
        <f t="shared" si="14"/>
        <v>900000</v>
      </c>
      <c r="U232" s="47">
        <f t="shared" si="10"/>
        <v>50000</v>
      </c>
      <c r="V232" s="47">
        <f t="shared" si="11"/>
        <v>2946.365803979023</v>
      </c>
      <c r="W232" s="47">
        <f t="shared" si="12"/>
        <v>52946.365803979024</v>
      </c>
      <c r="X232" s="47">
        <f t="shared" si="13"/>
        <v>850000</v>
      </c>
    </row>
    <row r="233" spans="10:24" ht="14.4" thickBot="1" x14ac:dyDescent="0.3">
      <c r="S233" s="46">
        <v>104</v>
      </c>
      <c r="T233" s="47">
        <f t="shared" si="14"/>
        <v>850000</v>
      </c>
      <c r="U233" s="47">
        <f t="shared" si="10"/>
        <v>50000</v>
      </c>
      <c r="V233" s="47">
        <f t="shared" si="11"/>
        <v>2782.6788148690771</v>
      </c>
      <c r="W233" s="47">
        <f t="shared" si="12"/>
        <v>52782.678814869076</v>
      </c>
      <c r="X233" s="47">
        <f t="shared" si="13"/>
        <v>800000</v>
      </c>
    </row>
    <row r="234" spans="10:24" ht="14.4" thickBot="1" x14ac:dyDescent="0.3">
      <c r="S234" s="46">
        <v>105</v>
      </c>
      <c r="T234" s="47">
        <f t="shared" si="14"/>
        <v>800000</v>
      </c>
      <c r="U234" s="47">
        <f t="shared" si="10"/>
        <v>50000</v>
      </c>
      <c r="V234" s="47">
        <f t="shared" si="11"/>
        <v>2618.9918257591316</v>
      </c>
      <c r="W234" s="47">
        <f t="shared" si="12"/>
        <v>52618.991825759134</v>
      </c>
      <c r="X234" s="47">
        <f t="shared" si="13"/>
        <v>750000</v>
      </c>
    </row>
    <row r="235" spans="10:24" ht="14.4" thickBot="1" x14ac:dyDescent="0.3">
      <c r="S235" s="46">
        <v>106</v>
      </c>
      <c r="T235" s="47">
        <f t="shared" si="14"/>
        <v>750000</v>
      </c>
      <c r="U235" s="47">
        <f t="shared" si="10"/>
        <v>50000</v>
      </c>
      <c r="V235" s="47">
        <f t="shared" si="11"/>
        <v>2455.3048366491857</v>
      </c>
      <c r="W235" s="47">
        <f t="shared" si="12"/>
        <v>52455.304836649186</v>
      </c>
      <c r="X235" s="47">
        <f t="shared" si="13"/>
        <v>700000</v>
      </c>
    </row>
    <row r="236" spans="10:24" ht="14.4" thickBot="1" x14ac:dyDescent="0.3">
      <c r="S236" s="46">
        <v>107</v>
      </c>
      <c r="T236" s="47">
        <f t="shared" si="14"/>
        <v>700000</v>
      </c>
      <c r="U236" s="47">
        <f t="shared" si="10"/>
        <v>50000</v>
      </c>
      <c r="V236" s="47">
        <f t="shared" si="11"/>
        <v>2291.6178475392403</v>
      </c>
      <c r="W236" s="47">
        <f t="shared" si="12"/>
        <v>52291.617847539237</v>
      </c>
      <c r="X236" s="47">
        <f t="shared" si="13"/>
        <v>650000</v>
      </c>
    </row>
    <row r="237" spans="10:24" ht="14.4" thickBot="1" x14ac:dyDescent="0.3">
      <c r="S237" s="46">
        <v>108</v>
      </c>
      <c r="T237" s="47">
        <f t="shared" si="14"/>
        <v>650000</v>
      </c>
      <c r="U237" s="47">
        <f t="shared" si="10"/>
        <v>50000</v>
      </c>
      <c r="V237" s="47">
        <f t="shared" si="11"/>
        <v>2127.9308584292944</v>
      </c>
      <c r="W237" s="47">
        <f t="shared" si="12"/>
        <v>52127.930858429296</v>
      </c>
      <c r="X237" s="47">
        <f t="shared" si="13"/>
        <v>600000</v>
      </c>
    </row>
    <row r="238" spans="10:24" ht="14.4" thickBot="1" x14ac:dyDescent="0.3">
      <c r="S238" s="46">
        <v>109</v>
      </c>
      <c r="T238" s="47">
        <f t="shared" si="14"/>
        <v>600000</v>
      </c>
      <c r="U238" s="47">
        <f t="shared" si="10"/>
        <v>50000</v>
      </c>
      <c r="V238" s="47">
        <f t="shared" si="11"/>
        <v>1964.2438693193487</v>
      </c>
      <c r="W238" s="47">
        <f t="shared" si="12"/>
        <v>51964.243869319347</v>
      </c>
      <c r="X238" s="47">
        <f t="shared" si="13"/>
        <v>550000</v>
      </c>
    </row>
    <row r="239" spans="10:24" ht="14.4" thickBot="1" x14ac:dyDescent="0.3">
      <c r="S239" s="46">
        <v>110</v>
      </c>
      <c r="T239" s="47">
        <f t="shared" si="14"/>
        <v>550000</v>
      </c>
      <c r="U239" s="47">
        <f t="shared" si="10"/>
        <v>50000</v>
      </c>
      <c r="V239" s="47">
        <f t="shared" si="11"/>
        <v>1800.5568802094031</v>
      </c>
      <c r="W239" s="47">
        <f t="shared" si="12"/>
        <v>51800.556880209406</v>
      </c>
      <c r="X239" s="47">
        <f t="shared" si="13"/>
        <v>500000</v>
      </c>
    </row>
    <row r="240" spans="10:24" ht="14.4" thickBot="1" x14ac:dyDescent="0.3">
      <c r="S240" s="46">
        <v>111</v>
      </c>
      <c r="T240" s="47">
        <f t="shared" si="14"/>
        <v>500000</v>
      </c>
      <c r="U240" s="47">
        <f t="shared" si="10"/>
        <v>50000</v>
      </c>
      <c r="V240" s="47">
        <f t="shared" si="11"/>
        <v>1636.8698910994572</v>
      </c>
      <c r="W240" s="47">
        <f t="shared" si="12"/>
        <v>51636.869891099457</v>
      </c>
      <c r="X240" s="47">
        <f t="shared" si="13"/>
        <v>450000</v>
      </c>
    </row>
    <row r="241" spans="9:24" ht="14.4" thickBot="1" x14ac:dyDescent="0.3">
      <c r="S241" s="46">
        <v>112</v>
      </c>
      <c r="T241" s="47">
        <f t="shared" si="14"/>
        <v>450000</v>
      </c>
      <c r="U241" s="47">
        <f t="shared" si="10"/>
        <v>50000</v>
      </c>
      <c r="V241" s="47">
        <f t="shared" si="11"/>
        <v>1473.1829019895115</v>
      </c>
      <c r="W241" s="47">
        <f t="shared" si="12"/>
        <v>51473.182901989509</v>
      </c>
      <c r="X241" s="47">
        <f t="shared" si="13"/>
        <v>400000</v>
      </c>
    </row>
    <row r="242" spans="9:24" ht="14.4" thickBot="1" x14ac:dyDescent="0.3">
      <c r="S242" s="46">
        <v>113</v>
      </c>
      <c r="T242" s="47">
        <f t="shared" si="14"/>
        <v>400000</v>
      </c>
      <c r="U242" s="47">
        <f t="shared" si="10"/>
        <v>50000</v>
      </c>
      <c r="V242" s="47">
        <f t="shared" si="11"/>
        <v>1309.4959128795658</v>
      </c>
      <c r="W242" s="47">
        <f t="shared" si="12"/>
        <v>51309.495912879567</v>
      </c>
      <c r="X242" s="47">
        <f t="shared" si="13"/>
        <v>350000</v>
      </c>
    </row>
    <row r="243" spans="9:24" ht="14.4" thickBot="1" x14ac:dyDescent="0.3">
      <c r="S243" s="46">
        <v>114</v>
      </c>
      <c r="T243" s="47">
        <f t="shared" si="14"/>
        <v>350000</v>
      </c>
      <c r="U243" s="47">
        <f t="shared" si="10"/>
        <v>50000</v>
      </c>
      <c r="V243" s="47">
        <f t="shared" si="11"/>
        <v>1145.8089237696202</v>
      </c>
      <c r="W243" s="47">
        <f t="shared" si="12"/>
        <v>51145.808923769619</v>
      </c>
      <c r="X243" s="47">
        <f t="shared" si="13"/>
        <v>300000</v>
      </c>
    </row>
    <row r="244" spans="9:24" ht="14.4" thickBot="1" x14ac:dyDescent="0.3">
      <c r="S244" s="46">
        <v>115</v>
      </c>
      <c r="T244" s="47">
        <f t="shared" si="14"/>
        <v>300000</v>
      </c>
      <c r="U244" s="47">
        <f t="shared" si="10"/>
        <v>50000</v>
      </c>
      <c r="V244" s="47">
        <f t="shared" si="11"/>
        <v>982.12193465967437</v>
      </c>
      <c r="W244" s="47">
        <f t="shared" si="12"/>
        <v>50982.121934659677</v>
      </c>
      <c r="X244" s="47">
        <f t="shared" si="13"/>
        <v>250000</v>
      </c>
    </row>
    <row r="245" spans="9:24" ht="14.4" thickBot="1" x14ac:dyDescent="0.3">
      <c r="S245" s="46">
        <v>116</v>
      </c>
      <c r="T245" s="47">
        <f t="shared" si="14"/>
        <v>250000</v>
      </c>
      <c r="U245" s="47">
        <f t="shared" si="10"/>
        <v>50000</v>
      </c>
      <c r="V245" s="47">
        <f t="shared" si="11"/>
        <v>818.43494554972858</v>
      </c>
      <c r="W245" s="47">
        <f t="shared" si="12"/>
        <v>50818.434945549729</v>
      </c>
      <c r="X245" s="47">
        <f t="shared" si="13"/>
        <v>200000</v>
      </c>
    </row>
    <row r="246" spans="9:24" ht="14.4" thickBot="1" x14ac:dyDescent="0.3">
      <c r="S246" s="46">
        <v>117</v>
      </c>
      <c r="T246" s="47">
        <f t="shared" si="14"/>
        <v>200000</v>
      </c>
      <c r="U246" s="47">
        <f t="shared" si="10"/>
        <v>50000</v>
      </c>
      <c r="V246" s="47">
        <f t="shared" si="11"/>
        <v>654.74795643978291</v>
      </c>
      <c r="W246" s="47">
        <f t="shared" si="12"/>
        <v>50654.74795643978</v>
      </c>
      <c r="X246" s="47">
        <f t="shared" si="13"/>
        <v>150000</v>
      </c>
    </row>
    <row r="247" spans="9:24" ht="14.4" thickBot="1" x14ac:dyDescent="0.3">
      <c r="S247" s="46">
        <v>118</v>
      </c>
      <c r="T247" s="47">
        <f t="shared" si="14"/>
        <v>150000</v>
      </c>
      <c r="U247" s="47">
        <f t="shared" si="10"/>
        <v>50000</v>
      </c>
      <c r="V247" s="47">
        <f t="shared" si="11"/>
        <v>491.06096732983718</v>
      </c>
      <c r="W247" s="47">
        <f t="shared" si="12"/>
        <v>50491.060967329839</v>
      </c>
      <c r="X247" s="47">
        <f t="shared" si="13"/>
        <v>100000</v>
      </c>
    </row>
    <row r="248" spans="9:24" ht="14.4" thickBot="1" x14ac:dyDescent="0.3">
      <c r="S248" s="46">
        <v>119</v>
      </c>
      <c r="T248" s="47">
        <f t="shared" si="14"/>
        <v>100000</v>
      </c>
      <c r="U248" s="47">
        <f t="shared" si="10"/>
        <v>50000</v>
      </c>
      <c r="V248" s="47">
        <f t="shared" si="11"/>
        <v>327.37397821989146</v>
      </c>
      <c r="W248" s="47">
        <f t="shared" si="12"/>
        <v>50327.37397821989</v>
      </c>
      <c r="X248" s="47">
        <f t="shared" si="13"/>
        <v>50000</v>
      </c>
    </row>
    <row r="249" spans="9:24" ht="14.4" thickBot="1" x14ac:dyDescent="0.3">
      <c r="S249" s="46">
        <v>120</v>
      </c>
      <c r="T249" s="47">
        <f t="shared" si="14"/>
        <v>50000</v>
      </c>
      <c r="U249" s="47">
        <f t="shared" si="10"/>
        <v>50000</v>
      </c>
      <c r="V249" s="47">
        <f t="shared" si="11"/>
        <v>163.68698910994573</v>
      </c>
      <c r="W249" s="47">
        <f t="shared" si="12"/>
        <v>50163.686989109949</v>
      </c>
      <c r="X249" s="48">
        <f t="shared" si="13"/>
        <v>0</v>
      </c>
    </row>
    <row r="251" spans="9:24" x14ac:dyDescent="0.25">
      <c r="I251">
        <v>100000</v>
      </c>
      <c r="J251" t="s">
        <v>17</v>
      </c>
    </row>
    <row r="252" spans="9:24" x14ac:dyDescent="0.25">
      <c r="I252" s="1">
        <v>0.05</v>
      </c>
      <c r="J252" t="s">
        <v>7</v>
      </c>
    </row>
    <row r="253" spans="9:24" x14ac:dyDescent="0.25">
      <c r="I253">
        <v>5</v>
      </c>
      <c r="J253" t="s">
        <v>0</v>
      </c>
    </row>
    <row r="254" spans="9:24" x14ac:dyDescent="0.25">
      <c r="I254" s="3">
        <f>FV(I252,I253,,-I251)</f>
        <v>127628.15625000001</v>
      </c>
      <c r="J254" t="s">
        <v>6</v>
      </c>
    </row>
    <row r="255" spans="9:24" x14ac:dyDescent="0.25">
      <c r="I255">
        <v>500000</v>
      </c>
      <c r="J255" t="s">
        <v>19</v>
      </c>
    </row>
    <row r="256" spans="9:24" x14ac:dyDescent="0.25">
      <c r="I256" s="3">
        <f>I255-I254</f>
        <v>372371.84375</v>
      </c>
      <c r="J256" t="s">
        <v>20</v>
      </c>
    </row>
    <row r="257" spans="9:10" x14ac:dyDescent="0.25">
      <c r="I257" s="23">
        <f>PV(I252,2,,-I256)</f>
        <v>337752.23922902491</v>
      </c>
      <c r="J257" t="s">
        <v>21</v>
      </c>
    </row>
    <row r="276" spans="10:15" x14ac:dyDescent="0.25">
      <c r="J276">
        <v>1</v>
      </c>
      <c r="K276">
        <v>0</v>
      </c>
      <c r="N276">
        <v>10000</v>
      </c>
      <c r="O276" t="s">
        <v>13</v>
      </c>
    </row>
    <row r="277" spans="10:15" x14ac:dyDescent="0.25">
      <c r="J277" s="3">
        <f>FV(N279,N278,,-N276)</f>
        <v>11261.62419264</v>
      </c>
      <c r="K277">
        <v>10000</v>
      </c>
      <c r="N277" s="4">
        <v>0.12</v>
      </c>
      <c r="O277" t="s">
        <v>88</v>
      </c>
    </row>
    <row r="278" spans="10:15" ht="14.4" thickBot="1" x14ac:dyDescent="0.3">
      <c r="J278" s="66"/>
      <c r="K278" s="66">
        <v>-500</v>
      </c>
      <c r="N278">
        <v>6</v>
      </c>
      <c r="O278" t="s">
        <v>91</v>
      </c>
    </row>
    <row r="279" spans="10:15" ht="14.4" thickTop="1" x14ac:dyDescent="0.25">
      <c r="J279" s="64">
        <f>J277</f>
        <v>11261.62419264</v>
      </c>
      <c r="K279" s="65">
        <f>K277+K278</f>
        <v>9500</v>
      </c>
      <c r="N279" s="4">
        <f>N277/N278</f>
        <v>0.02</v>
      </c>
      <c r="O279" t="s">
        <v>89</v>
      </c>
    </row>
    <row r="280" spans="10:15" x14ac:dyDescent="0.25">
      <c r="N280">
        <v>500</v>
      </c>
      <c r="O280" s="63" t="s">
        <v>90</v>
      </c>
    </row>
    <row r="281" spans="10:15" x14ac:dyDescent="0.25">
      <c r="K281" s="22">
        <f>RATE(1,,-K279,J279)</f>
        <v>0.18543412554105251</v>
      </c>
      <c r="N281" s="4"/>
    </row>
    <row r="311" spans="8:14" x14ac:dyDescent="0.25">
      <c r="J311" s="31" t="s">
        <v>59</v>
      </c>
      <c r="K311" s="31"/>
      <c r="L311" s="31"/>
      <c r="M311" s="31"/>
      <c r="N311" s="31"/>
    </row>
    <row r="316" spans="8:14" x14ac:dyDescent="0.25">
      <c r="H316" s="67" t="s">
        <v>42</v>
      </c>
    </row>
    <row r="317" spans="8:14" x14ac:dyDescent="0.25">
      <c r="H317">
        <v>240</v>
      </c>
      <c r="I317" t="s">
        <v>43</v>
      </c>
    </row>
    <row r="318" spans="8:14" x14ac:dyDescent="0.25">
      <c r="H318" s="1">
        <v>0.12</v>
      </c>
      <c r="I318" t="s">
        <v>44</v>
      </c>
      <c r="K318">
        <v>12</v>
      </c>
    </row>
    <row r="319" spans="8:14" x14ac:dyDescent="0.25">
      <c r="H319" s="1">
        <f>H318/K318</f>
        <v>0.01</v>
      </c>
      <c r="I319" t="s">
        <v>45</v>
      </c>
    </row>
    <row r="320" spans="8:14" x14ac:dyDescent="0.25">
      <c r="H320">
        <v>500</v>
      </c>
      <c r="I320" t="s">
        <v>46</v>
      </c>
      <c r="K320" s="1"/>
    </row>
    <row r="321" spans="8:11" x14ac:dyDescent="0.25">
      <c r="H321" s="10">
        <v>0</v>
      </c>
      <c r="I321" t="s">
        <v>41</v>
      </c>
      <c r="K321" s="6"/>
    </row>
    <row r="322" spans="8:11" x14ac:dyDescent="0.25">
      <c r="H322" s="6"/>
      <c r="K322" s="3"/>
    </row>
    <row r="323" spans="8:11" x14ac:dyDescent="0.25">
      <c r="H323" s="3"/>
      <c r="I323" s="24">
        <f>PV(H319,H317,-H320,,)</f>
        <v>45409.708174150794</v>
      </c>
      <c r="J323" t="s">
        <v>47</v>
      </c>
      <c r="K323" s="3"/>
    </row>
    <row r="325" spans="8:11" x14ac:dyDescent="0.25">
      <c r="H325" s="12" t="s">
        <v>50</v>
      </c>
      <c r="K325" s="3"/>
    </row>
    <row r="326" spans="8:11" x14ac:dyDescent="0.25">
      <c r="H326">
        <v>444</v>
      </c>
      <c r="I326" t="s">
        <v>48</v>
      </c>
    </row>
    <row r="328" spans="8:11" x14ac:dyDescent="0.25">
      <c r="I328" s="24">
        <f>PV(H319,H326,,-I323)</f>
        <v>547.59408890007273</v>
      </c>
      <c r="J328" t="s">
        <v>49</v>
      </c>
    </row>
    <row r="354" spans="8:9" x14ac:dyDescent="0.25">
      <c r="H354" s="30">
        <v>1</v>
      </c>
      <c r="I354" s="30" t="s">
        <v>76</v>
      </c>
    </row>
    <row r="355" spans="8:9" x14ac:dyDescent="0.25">
      <c r="H355" s="30">
        <v>2</v>
      </c>
      <c r="I355" s="30" t="s">
        <v>75</v>
      </c>
    </row>
    <row r="356" spans="8:9" x14ac:dyDescent="0.25">
      <c r="H356" s="30">
        <v>3</v>
      </c>
      <c r="I356" s="30" t="s">
        <v>92</v>
      </c>
    </row>
    <row r="357" spans="8:9" x14ac:dyDescent="0.25">
      <c r="H357" s="30">
        <v>4</v>
      </c>
      <c r="I357" s="30" t="s">
        <v>93</v>
      </c>
    </row>
    <row r="407" spans="8:13" ht="27.6" x14ac:dyDescent="0.25">
      <c r="H407" s="25" t="s">
        <v>22</v>
      </c>
      <c r="I407" s="25" t="s">
        <v>23</v>
      </c>
      <c r="J407" s="25" t="s">
        <v>24</v>
      </c>
      <c r="K407" s="25" t="s">
        <v>25</v>
      </c>
    </row>
    <row r="408" spans="8:13" x14ac:dyDescent="0.25">
      <c r="H408" s="26" t="s">
        <v>26</v>
      </c>
      <c r="I408" s="27">
        <v>700000</v>
      </c>
      <c r="J408" s="27">
        <v>560000</v>
      </c>
      <c r="K408" s="68">
        <f>J408/I408</f>
        <v>0.8</v>
      </c>
    </row>
    <row r="409" spans="8:13" x14ac:dyDescent="0.25">
      <c r="H409" s="26" t="s">
        <v>27</v>
      </c>
      <c r="I409" s="27">
        <v>650000</v>
      </c>
      <c r="J409" s="68">
        <f>K409*I409</f>
        <v>260000</v>
      </c>
      <c r="K409" s="26">
        <v>0.4</v>
      </c>
      <c r="M409" s="8">
        <v>1400000</v>
      </c>
    </row>
    <row r="410" spans="8:13" x14ac:dyDescent="0.25">
      <c r="H410" s="26" t="s">
        <v>28</v>
      </c>
      <c r="I410" s="27">
        <v>250000</v>
      </c>
      <c r="J410" s="27">
        <v>150000</v>
      </c>
      <c r="K410" s="68">
        <f>J410/I410</f>
        <v>0.6</v>
      </c>
    </row>
    <row r="411" spans="8:13" x14ac:dyDescent="0.25">
      <c r="H411" s="26" t="s">
        <v>29</v>
      </c>
      <c r="I411" s="27">
        <v>100000</v>
      </c>
      <c r="J411" s="68">
        <f>K411*I411</f>
        <v>30000</v>
      </c>
      <c r="K411" s="26">
        <v>0.3</v>
      </c>
    </row>
    <row r="412" spans="8:13" x14ac:dyDescent="0.25">
      <c r="H412" s="26" t="s">
        <v>30</v>
      </c>
      <c r="I412" s="27">
        <v>500000</v>
      </c>
      <c r="J412" s="27">
        <v>125000</v>
      </c>
      <c r="K412" s="26">
        <v>0.25</v>
      </c>
    </row>
    <row r="413" spans="8:13" x14ac:dyDescent="0.25">
      <c r="H413" s="14"/>
      <c r="I413" s="15"/>
      <c r="J413" s="15"/>
      <c r="K413" s="14"/>
    </row>
    <row r="414" spans="8:13" ht="27.6" x14ac:dyDescent="0.25">
      <c r="H414" s="18" t="s">
        <v>51</v>
      </c>
      <c r="I414" s="19" t="s">
        <v>52</v>
      </c>
      <c r="J414" s="18" t="s">
        <v>53</v>
      </c>
      <c r="K414" s="18" t="s">
        <v>54</v>
      </c>
    </row>
    <row r="415" spans="8:13" x14ac:dyDescent="0.25">
      <c r="H415" s="14" t="s">
        <v>26</v>
      </c>
      <c r="I415" s="15">
        <f>J408</f>
        <v>560000</v>
      </c>
      <c r="J415" s="16">
        <v>0.8</v>
      </c>
      <c r="K415" s="15">
        <f>M409-I408</f>
        <v>700000</v>
      </c>
    </row>
    <row r="416" spans="8:13" x14ac:dyDescent="0.25">
      <c r="H416" s="13" t="s">
        <v>28</v>
      </c>
      <c r="I416" s="17">
        <f>J410</f>
        <v>150000</v>
      </c>
      <c r="J416" s="16">
        <v>0.6</v>
      </c>
      <c r="K416" s="17">
        <f>K415-I410</f>
        <v>450000</v>
      </c>
    </row>
    <row r="417" spans="8:11" x14ac:dyDescent="0.25">
      <c r="H417" s="13" t="s">
        <v>27</v>
      </c>
      <c r="I417" s="30">
        <f>K416/I409*J409</f>
        <v>180000</v>
      </c>
      <c r="J417" s="16">
        <v>0.4</v>
      </c>
      <c r="K417" s="30">
        <v>0</v>
      </c>
    </row>
    <row r="418" spans="8:11" x14ac:dyDescent="0.25">
      <c r="H418" s="13"/>
      <c r="I418" s="28">
        <f>SUM(I415:I417)</f>
        <v>890000</v>
      </c>
      <c r="J418" s="16"/>
    </row>
    <row r="455" spans="8:14" x14ac:dyDescent="0.25">
      <c r="H455" s="20">
        <v>1000</v>
      </c>
      <c r="I455" s="20" t="s">
        <v>31</v>
      </c>
    </row>
    <row r="456" spans="8:14" x14ac:dyDescent="0.25">
      <c r="H456" s="69">
        <v>0.02</v>
      </c>
      <c r="I456" s="20" t="s">
        <v>32</v>
      </c>
    </row>
    <row r="457" spans="8:14" x14ac:dyDescent="0.25">
      <c r="H457" s="70">
        <f>FV(H456,1,,-H455)</f>
        <v>1020</v>
      </c>
      <c r="I457" s="71" t="s">
        <v>33</v>
      </c>
    </row>
    <row r="459" spans="8:14" x14ac:dyDescent="0.25">
      <c r="H459" t="s">
        <v>1</v>
      </c>
      <c r="K459" t="s">
        <v>2</v>
      </c>
      <c r="M459" t="s">
        <v>3</v>
      </c>
    </row>
    <row r="460" spans="8:14" x14ac:dyDescent="0.25">
      <c r="H460" s="1">
        <v>0.01</v>
      </c>
      <c r="I460" s="72" t="s">
        <v>7</v>
      </c>
      <c r="K460" s="1">
        <v>0.02</v>
      </c>
      <c r="L460" s="72" t="s">
        <v>7</v>
      </c>
      <c r="M460" s="1">
        <v>0.02</v>
      </c>
      <c r="N460" s="72" t="s">
        <v>7</v>
      </c>
    </row>
    <row r="461" spans="8:14" x14ac:dyDescent="0.25">
      <c r="H461" s="3">
        <f>H457*(1+H460)</f>
        <v>1030.2</v>
      </c>
      <c r="K461" s="3">
        <f>FV(K460,1,,-H455)</f>
        <v>1020</v>
      </c>
      <c r="M461" s="3">
        <f>H457*(1+M460)</f>
        <v>1040.4000000000001</v>
      </c>
    </row>
    <row r="462" spans="8:14" x14ac:dyDescent="0.25">
      <c r="H462" s="3">
        <f>H461-H457</f>
        <v>10.200000000000045</v>
      </c>
      <c r="K462" s="3">
        <f>K461-H457</f>
        <v>0</v>
      </c>
      <c r="M462" s="3">
        <f>M461-H457</f>
        <v>20.400000000000091</v>
      </c>
    </row>
    <row r="489" spans="9:11" x14ac:dyDescent="0.25">
      <c r="I489">
        <v>1000</v>
      </c>
      <c r="J489" t="s">
        <v>6</v>
      </c>
    </row>
    <row r="490" spans="9:11" x14ac:dyDescent="0.25">
      <c r="I490" s="1">
        <v>0.05</v>
      </c>
      <c r="J490" t="s">
        <v>34</v>
      </c>
    </row>
    <row r="491" spans="9:11" x14ac:dyDescent="0.25">
      <c r="I491">
        <v>2</v>
      </c>
      <c r="J491" t="s">
        <v>35</v>
      </c>
    </row>
    <row r="492" spans="9:11" x14ac:dyDescent="0.25">
      <c r="I492">
        <f>I490*I489/I491</f>
        <v>25</v>
      </c>
      <c r="J492" t="s">
        <v>36</v>
      </c>
    </row>
    <row r="493" spans="9:11" x14ac:dyDescent="0.25">
      <c r="I493">
        <v>868.10299999999995</v>
      </c>
      <c r="J493" t="s">
        <v>17</v>
      </c>
    </row>
    <row r="494" spans="9:11" x14ac:dyDescent="0.25">
      <c r="I494">
        <f>8*2</f>
        <v>16</v>
      </c>
      <c r="J494" t="s">
        <v>0</v>
      </c>
    </row>
    <row r="495" spans="9:11" x14ac:dyDescent="0.25">
      <c r="I495" s="5">
        <f>RATE(I494,I492,-I493,I489)</f>
        <v>3.5986863287406398E-2</v>
      </c>
      <c r="J495" t="s">
        <v>7</v>
      </c>
      <c r="K495" t="s">
        <v>94</v>
      </c>
    </row>
    <row r="496" spans="9:11" x14ac:dyDescent="0.25">
      <c r="I496" s="22">
        <f>((1+I495)^2)-1</f>
        <v>7.3268780904079067E-2</v>
      </c>
      <c r="J496" t="s">
        <v>37</v>
      </c>
      <c r="K496" t="s">
        <v>95</v>
      </c>
    </row>
    <row r="519" spans="8:11" x14ac:dyDescent="0.25">
      <c r="H519">
        <v>20000</v>
      </c>
      <c r="I519" t="s">
        <v>96</v>
      </c>
    </row>
    <row r="520" spans="8:11" x14ac:dyDescent="0.25">
      <c r="H520">
        <v>10000</v>
      </c>
      <c r="I520" t="s">
        <v>97</v>
      </c>
    </row>
    <row r="521" spans="8:11" x14ac:dyDescent="0.25">
      <c r="H521">
        <v>15</v>
      </c>
      <c r="I521" t="s">
        <v>98</v>
      </c>
    </row>
    <row r="522" spans="8:11" x14ac:dyDescent="0.25">
      <c r="H522">
        <v>21</v>
      </c>
      <c r="I522" t="s">
        <v>99</v>
      </c>
    </row>
    <row r="523" spans="8:11" x14ac:dyDescent="0.25">
      <c r="H523">
        <v>12</v>
      </c>
      <c r="I523" t="s">
        <v>100</v>
      </c>
    </row>
    <row r="524" spans="8:11" x14ac:dyDescent="0.25">
      <c r="H524" s="4">
        <v>5.0000000000000001E-3</v>
      </c>
      <c r="I524" t="s">
        <v>77</v>
      </c>
    </row>
    <row r="525" spans="8:11" x14ac:dyDescent="0.25">
      <c r="H525" s="4">
        <v>4.0000000000000001E-3</v>
      </c>
      <c r="I525" t="s">
        <v>78</v>
      </c>
    </row>
    <row r="527" spans="8:11" x14ac:dyDescent="0.25">
      <c r="H527" s="3">
        <f>FV(H524,H521,,-H519)</f>
        <v>21553.654751761616</v>
      </c>
      <c r="I527" t="s">
        <v>101</v>
      </c>
    </row>
    <row r="528" spans="8:11" x14ac:dyDescent="0.25">
      <c r="H528" s="36">
        <f>FV(H525,H522,,-H527)</f>
        <v>23438.450155569244</v>
      </c>
      <c r="I528" s="37" t="s">
        <v>102</v>
      </c>
      <c r="J528" s="36">
        <f>FV(H525,H523,,-H520)</f>
        <v>10490.702075348059</v>
      </c>
      <c r="K528" s="37" t="s">
        <v>102</v>
      </c>
    </row>
    <row r="530" spans="8:8" x14ac:dyDescent="0.25">
      <c r="H530" s="23">
        <f>H528+J528</f>
        <v>33929.152230917301</v>
      </c>
    </row>
  </sheetData>
  <mergeCells count="9">
    <mergeCell ref="H100:I100"/>
    <mergeCell ref="M100:N100"/>
    <mergeCell ref="J1:N1"/>
    <mergeCell ref="J23:N23"/>
    <mergeCell ref="J51:N51"/>
    <mergeCell ref="J168:N168"/>
    <mergeCell ref="J198:N198"/>
    <mergeCell ref="J226:N226"/>
    <mergeCell ref="J311:N31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0C08A8-38A7-46B0-A577-CF1D897C5688}">
  <sheetPr>
    <tabColor rgb="FF00B0F0"/>
  </sheetPr>
  <dimension ref="B1:U150"/>
  <sheetViews>
    <sheetView rightToLeft="1" workbookViewId="0">
      <selection activeCell="A10" sqref="A10"/>
    </sheetView>
  </sheetViews>
  <sheetFormatPr defaultRowHeight="13.8" x14ac:dyDescent="0.25"/>
  <cols>
    <col min="3" max="3" width="14.296875" customWidth="1"/>
    <col min="4" max="4" width="13.59765625" bestFit="1" customWidth="1"/>
    <col min="5" max="5" width="11.3984375" bestFit="1" customWidth="1"/>
    <col min="13" max="13" width="9.69921875" customWidth="1"/>
    <col min="14" max="15" width="12.69921875" customWidth="1"/>
    <col min="16" max="16" width="14.19921875" customWidth="1"/>
    <col min="17" max="17" width="14.3984375" customWidth="1"/>
    <col min="18" max="18" width="13.69921875" customWidth="1"/>
  </cols>
  <sheetData>
    <row r="1" spans="13:21" ht="17.399999999999999" x14ac:dyDescent="0.3">
      <c r="M1" s="79" t="s">
        <v>112</v>
      </c>
    </row>
    <row r="3" spans="13:21" x14ac:dyDescent="0.25">
      <c r="M3" s="73" t="s">
        <v>63</v>
      </c>
    </row>
    <row r="4" spans="13:21" x14ac:dyDescent="0.25">
      <c r="M4" s="73" t="s">
        <v>64</v>
      </c>
      <c r="S4" s="73" t="s">
        <v>103</v>
      </c>
    </row>
    <row r="5" spans="13:21" x14ac:dyDescent="0.25">
      <c r="M5" s="8" t="s">
        <v>104</v>
      </c>
      <c r="O5" s="8">
        <v>12500</v>
      </c>
      <c r="S5" t="s">
        <v>105</v>
      </c>
      <c r="U5" s="8">
        <v>1000000</v>
      </c>
    </row>
    <row r="6" spans="13:21" x14ac:dyDescent="0.25">
      <c r="M6" t="s">
        <v>106</v>
      </c>
      <c r="O6">
        <f>9*Q7</f>
        <v>108</v>
      </c>
      <c r="S6" t="s">
        <v>44</v>
      </c>
      <c r="U6" s="1">
        <v>0.13</v>
      </c>
    </row>
    <row r="7" spans="13:21" x14ac:dyDescent="0.25">
      <c r="M7" t="s">
        <v>107</v>
      </c>
      <c r="O7" s="4">
        <v>7.442E-2</v>
      </c>
      <c r="Q7">
        <v>12</v>
      </c>
      <c r="S7" t="s">
        <v>108</v>
      </c>
      <c r="U7">
        <v>4</v>
      </c>
    </row>
    <row r="8" spans="13:21" x14ac:dyDescent="0.25">
      <c r="M8" t="s">
        <v>45</v>
      </c>
      <c r="O8" s="4">
        <f>(1+O7)^(1/Q7)-1</f>
        <v>5.9996748075359374E-3</v>
      </c>
      <c r="S8" t="s">
        <v>109</v>
      </c>
      <c r="U8" s="4">
        <v>0.1255</v>
      </c>
    </row>
    <row r="9" spans="13:21" x14ac:dyDescent="0.25">
      <c r="M9" s="72" t="s">
        <v>41</v>
      </c>
      <c r="O9">
        <v>0</v>
      </c>
      <c r="S9" t="s">
        <v>110</v>
      </c>
      <c r="U9" s="8">
        <v>36</v>
      </c>
    </row>
    <row r="10" spans="13:21" x14ac:dyDescent="0.25">
      <c r="S10" t="s">
        <v>111</v>
      </c>
      <c r="U10" s="8">
        <f>U5*U6/U7</f>
        <v>32500</v>
      </c>
    </row>
    <row r="11" spans="13:21" x14ac:dyDescent="0.25">
      <c r="M11" s="73" t="s">
        <v>112</v>
      </c>
      <c r="S11" t="s">
        <v>113</v>
      </c>
      <c r="U11" s="4">
        <f>(1+U8)^(1/U7)-1</f>
        <v>2.9997984394578792E-2</v>
      </c>
    </row>
    <row r="12" spans="13:21" x14ac:dyDescent="0.25">
      <c r="M12" t="s">
        <v>114</v>
      </c>
      <c r="S12" s="72" t="s">
        <v>41</v>
      </c>
      <c r="U12">
        <v>0</v>
      </c>
    </row>
    <row r="13" spans="13:21" ht="14.4" thickBot="1" x14ac:dyDescent="0.3"/>
    <row r="14" spans="13:21" ht="14.4" thickBot="1" x14ac:dyDescent="0.3">
      <c r="N14" s="74">
        <f>PV(O8,O6,-O5,,O9)</f>
        <v>991464.08777187637</v>
      </c>
    </row>
    <row r="16" spans="13:21" x14ac:dyDescent="0.25">
      <c r="M16" t="s">
        <v>115</v>
      </c>
    </row>
    <row r="17" spans="13:18" ht="14.4" thickBot="1" x14ac:dyDescent="0.3"/>
    <row r="18" spans="13:18" ht="14.4" thickBot="1" x14ac:dyDescent="0.3">
      <c r="N18" s="74">
        <f>PV(U11,U9,-U10,-U5,U12)</f>
        <v>1054626.279332489</v>
      </c>
    </row>
    <row r="19" spans="13:18" ht="14.4" thickBot="1" x14ac:dyDescent="0.3"/>
    <row r="20" spans="13:18" ht="14.4" thickBot="1" x14ac:dyDescent="0.3">
      <c r="M20" s="75" t="s">
        <v>116</v>
      </c>
      <c r="N20" s="76"/>
      <c r="O20" s="76"/>
      <c r="P20" s="76"/>
      <c r="Q20" s="76"/>
      <c r="R20" s="77"/>
    </row>
    <row r="23" spans="13:18" ht="17.399999999999999" x14ac:dyDescent="0.3">
      <c r="M23" s="79" t="s">
        <v>117</v>
      </c>
    </row>
    <row r="24" spans="13:18" x14ac:dyDescent="0.25">
      <c r="M24" s="73" t="s">
        <v>63</v>
      </c>
    </row>
    <row r="25" spans="13:18" x14ac:dyDescent="0.25">
      <c r="M25" s="73" t="s">
        <v>64</v>
      </c>
    </row>
    <row r="26" spans="13:18" x14ac:dyDescent="0.25">
      <c r="M26" s="8" t="s">
        <v>104</v>
      </c>
      <c r="O26" s="8">
        <v>12500</v>
      </c>
    </row>
    <row r="27" spans="13:18" x14ac:dyDescent="0.25">
      <c r="M27" t="s">
        <v>106</v>
      </c>
      <c r="O27">
        <f>9*Q28</f>
        <v>108</v>
      </c>
    </row>
    <row r="28" spans="13:18" x14ac:dyDescent="0.25">
      <c r="M28" t="s">
        <v>107</v>
      </c>
      <c r="O28" s="4">
        <v>7.442E-2</v>
      </c>
      <c r="Q28">
        <v>12</v>
      </c>
    </row>
    <row r="29" spans="13:18" x14ac:dyDescent="0.25">
      <c r="M29" t="s">
        <v>45</v>
      </c>
      <c r="O29" s="4">
        <f>(1+O28)^(1/Q28)-1</f>
        <v>5.9996748075359374E-3</v>
      </c>
    </row>
    <row r="30" spans="13:18" x14ac:dyDescent="0.25">
      <c r="M30" s="72" t="s">
        <v>41</v>
      </c>
      <c r="O30">
        <v>0</v>
      </c>
    </row>
    <row r="32" spans="13:18" x14ac:dyDescent="0.25">
      <c r="M32" s="73" t="s">
        <v>112</v>
      </c>
    </row>
    <row r="33" spans="2:18" x14ac:dyDescent="0.25">
      <c r="M33" t="s">
        <v>114</v>
      </c>
    </row>
    <row r="34" spans="2:18" ht="14.4" thickBot="1" x14ac:dyDescent="0.3"/>
    <row r="35" spans="2:18" ht="14.4" thickBot="1" x14ac:dyDescent="0.3">
      <c r="N35" s="74">
        <f>PV(O29,O27,-O26,,O30)</f>
        <v>991464.08777187637</v>
      </c>
    </row>
    <row r="37" spans="2:18" x14ac:dyDescent="0.25">
      <c r="M37" s="41" t="s">
        <v>63</v>
      </c>
      <c r="Q37" t="s">
        <v>120</v>
      </c>
      <c r="R37" s="54">
        <f>O92</f>
        <v>8782.8897944609889</v>
      </c>
    </row>
    <row r="38" spans="2:18" x14ac:dyDescent="0.25">
      <c r="M38" s="43" t="s">
        <v>64</v>
      </c>
      <c r="N38" s="8">
        <f>N35</f>
        <v>991464.08777187637</v>
      </c>
      <c r="O38" t="s">
        <v>13</v>
      </c>
      <c r="Q38" t="s">
        <v>121</v>
      </c>
      <c r="R38" s="17">
        <f>P92</f>
        <v>3717.1102055390511</v>
      </c>
    </row>
    <row r="39" spans="2:18" x14ac:dyDescent="0.25">
      <c r="M39" s="43" t="s">
        <v>74</v>
      </c>
      <c r="N39">
        <f>O27</f>
        <v>108</v>
      </c>
      <c r="O39" t="s">
        <v>0</v>
      </c>
      <c r="Q39" t="s">
        <v>122</v>
      </c>
      <c r="R39" s="3">
        <f>R102</f>
        <v>519989.16630077048</v>
      </c>
    </row>
    <row r="40" spans="2:18" x14ac:dyDescent="0.25">
      <c r="M40" s="43" t="s">
        <v>65</v>
      </c>
      <c r="N40" s="4">
        <f>O29</f>
        <v>5.9996748075359374E-3</v>
      </c>
      <c r="O40" t="s">
        <v>7</v>
      </c>
      <c r="R40" s="4"/>
    </row>
    <row r="41" spans="2:18" ht="14.4" thickBot="1" x14ac:dyDescent="0.3">
      <c r="H41" s="73" t="s">
        <v>103</v>
      </c>
      <c r="M41" s="43"/>
      <c r="N41" s="23">
        <f>PMT(N40,N39,-N38,,)</f>
        <v>12500.00000000004</v>
      </c>
      <c r="O41" t="s">
        <v>60</v>
      </c>
    </row>
    <row r="42" spans="2:18" ht="18" thickBot="1" x14ac:dyDescent="0.35">
      <c r="B42" s="79" t="s">
        <v>118</v>
      </c>
      <c r="H42" t="s">
        <v>105</v>
      </c>
      <c r="J42" s="8">
        <v>1000000</v>
      </c>
      <c r="M42" s="49" t="s">
        <v>67</v>
      </c>
      <c r="N42" s="49" t="s">
        <v>68</v>
      </c>
      <c r="O42" s="49" t="s">
        <v>69</v>
      </c>
      <c r="P42" s="49" t="s">
        <v>70</v>
      </c>
      <c r="Q42" s="49" t="s">
        <v>71</v>
      </c>
      <c r="R42" s="49" t="s">
        <v>72</v>
      </c>
    </row>
    <row r="43" spans="2:18" ht="14.4" thickBot="1" x14ac:dyDescent="0.3">
      <c r="B43" s="65" t="s">
        <v>123</v>
      </c>
      <c r="D43" s="4"/>
      <c r="H43" t="s">
        <v>44</v>
      </c>
      <c r="J43" s="1">
        <v>0.13</v>
      </c>
      <c r="M43" s="50">
        <v>1</v>
      </c>
      <c r="N43" s="51">
        <f>N38</f>
        <v>991464.08777187637</v>
      </c>
      <c r="O43" s="47">
        <f>Q43-P43</f>
        <v>6551.5378900185142</v>
      </c>
      <c r="P43" s="47">
        <f>$N$40*N43</f>
        <v>5948.4621099815258</v>
      </c>
      <c r="Q43" s="52">
        <f>$N$41</f>
        <v>12500.00000000004</v>
      </c>
      <c r="R43" s="47">
        <f>N43-O43</f>
        <v>984912.54988185782</v>
      </c>
    </row>
    <row r="44" spans="2:18" ht="14.4" thickBot="1" x14ac:dyDescent="0.3">
      <c r="C44" s="3">
        <f>PV(J48,35,J47,J42)</f>
        <v>-999886.70443788695</v>
      </c>
      <c r="D44" s="4"/>
      <c r="H44" t="s">
        <v>108</v>
      </c>
      <c r="J44">
        <v>4</v>
      </c>
      <c r="M44" s="50">
        <v>2</v>
      </c>
      <c r="N44" s="47">
        <f>R43</f>
        <v>984912.54988185782</v>
      </c>
      <c r="O44" s="47">
        <f t="shared" ref="O44:O72" si="0">Q44-P44</f>
        <v>6590.8449868478756</v>
      </c>
      <c r="P44" s="47">
        <f t="shared" ref="P44:P72" si="1">$N$40*N44</f>
        <v>5909.1550131521644</v>
      </c>
      <c r="Q44" s="52">
        <f t="shared" ref="Q44:Q107" si="2">$N$41</f>
        <v>12500.00000000004</v>
      </c>
      <c r="R44" s="47">
        <f t="shared" ref="R44:R72" si="3">N44-O44</f>
        <v>978321.70489500999</v>
      </c>
    </row>
    <row r="45" spans="2:18" ht="14.4" thickBot="1" x14ac:dyDescent="0.3">
      <c r="H45" t="s">
        <v>109</v>
      </c>
      <c r="J45" s="4">
        <v>0.13650000000000001</v>
      </c>
      <c r="M45" s="50">
        <v>3</v>
      </c>
      <c r="N45" s="47">
        <f t="shared" ref="N45:N72" si="4">R44</f>
        <v>978321.70489500999</v>
      </c>
      <c r="O45" s="47">
        <f t="shared" si="0"/>
        <v>6630.3879134758408</v>
      </c>
      <c r="P45" s="47">
        <f t="shared" si="1"/>
        <v>5869.6120865241992</v>
      </c>
      <c r="Q45" s="52">
        <f t="shared" si="2"/>
        <v>12500.00000000004</v>
      </c>
      <c r="R45" s="47">
        <f t="shared" si="3"/>
        <v>971691.31698153412</v>
      </c>
    </row>
    <row r="46" spans="2:18" ht="14.4" thickBot="1" x14ac:dyDescent="0.3">
      <c r="B46" t="s">
        <v>124</v>
      </c>
      <c r="D46" s="80">
        <v>1</v>
      </c>
      <c r="E46" s="30">
        <v>0</v>
      </c>
      <c r="H46" t="s">
        <v>110</v>
      </c>
      <c r="J46" s="8">
        <v>36</v>
      </c>
      <c r="M46" s="50">
        <v>4</v>
      </c>
      <c r="N46" s="47">
        <f t="shared" si="4"/>
        <v>971691.31698153412</v>
      </c>
      <c r="O46" s="47">
        <f t="shared" si="0"/>
        <v>6670.1680848045125</v>
      </c>
      <c r="P46" s="47">
        <f t="shared" si="1"/>
        <v>5829.8319151955275</v>
      </c>
      <c r="Q46" s="52">
        <f t="shared" si="2"/>
        <v>12500.00000000004</v>
      </c>
      <c r="R46" s="47">
        <f t="shared" si="3"/>
        <v>965021.14889672957</v>
      </c>
    </row>
    <row r="47" spans="2:18" ht="14.4" thickBot="1" x14ac:dyDescent="0.3">
      <c r="D47" s="17">
        <f>J47</f>
        <v>32500</v>
      </c>
      <c r="E47" s="81">
        <f>N18</f>
        <v>1054626.279332489</v>
      </c>
      <c r="H47" t="s">
        <v>111</v>
      </c>
      <c r="J47" s="8">
        <f>J42*J43/J44</f>
        <v>32500</v>
      </c>
      <c r="M47" s="50">
        <v>5</v>
      </c>
      <c r="N47" s="47">
        <f t="shared" si="4"/>
        <v>965021.14889672957</v>
      </c>
      <c r="O47" s="47">
        <f t="shared" si="0"/>
        <v>6710.186924224945</v>
      </c>
      <c r="P47" s="47">
        <f t="shared" si="1"/>
        <v>5789.8130757750951</v>
      </c>
      <c r="Q47" s="52">
        <f t="shared" si="2"/>
        <v>12500.00000000004</v>
      </c>
      <c r="R47" s="47">
        <f t="shared" si="3"/>
        <v>958310.96197250462</v>
      </c>
    </row>
    <row r="48" spans="2:18" ht="14.4" thickBot="1" x14ac:dyDescent="0.3">
      <c r="B48" s="65"/>
      <c r="D48" s="82">
        <f>-C44</f>
        <v>999886.70443788695</v>
      </c>
      <c r="E48" s="66"/>
      <c r="H48" t="s">
        <v>113</v>
      </c>
      <c r="J48" s="4">
        <f>(1+J45)^(1/J44)-1</f>
        <v>3.2505467333838078E-2</v>
      </c>
      <c r="M48" s="50">
        <v>6</v>
      </c>
      <c r="N48" s="47">
        <f t="shared" si="4"/>
        <v>958310.96197250462</v>
      </c>
      <c r="O48" s="47">
        <f>Q48-P48</f>
        <v>6750.4458636680747</v>
      </c>
      <c r="P48" s="47">
        <f t="shared" si="1"/>
        <v>5749.5541363319653</v>
      </c>
      <c r="Q48" s="52">
        <f t="shared" si="2"/>
        <v>12500.00000000004</v>
      </c>
      <c r="R48" s="47">
        <f t="shared" si="3"/>
        <v>951560.51610883651</v>
      </c>
    </row>
    <row r="49" spans="2:18" ht="15" thickTop="1" thickBot="1" x14ac:dyDescent="0.3">
      <c r="D49" s="3">
        <f>D48+D47</f>
        <v>1032386.7044378869</v>
      </c>
      <c r="E49" s="11">
        <f>E47</f>
        <v>1054626.279332489</v>
      </c>
      <c r="H49" s="72" t="s">
        <v>41</v>
      </c>
      <c r="J49">
        <v>0</v>
      </c>
      <c r="M49" s="50">
        <v>7</v>
      </c>
      <c r="N49" s="47">
        <f t="shared" si="4"/>
        <v>951560.51610883651</v>
      </c>
      <c r="O49" s="47">
        <f t="shared" si="0"/>
        <v>6790.946343655959</v>
      </c>
      <c r="P49" s="47">
        <f t="shared" si="1"/>
        <v>5709.053656344081</v>
      </c>
      <c r="Q49" s="52">
        <f t="shared" si="2"/>
        <v>12500.00000000004</v>
      </c>
      <c r="R49" s="47">
        <f t="shared" si="3"/>
        <v>944769.56976518058</v>
      </c>
    </row>
    <row r="50" spans="2:18" ht="14.4" thickBot="1" x14ac:dyDescent="0.3">
      <c r="D50" s="11"/>
      <c r="M50" s="50">
        <v>8</v>
      </c>
      <c r="N50" s="47">
        <f t="shared" si="4"/>
        <v>944769.56976518058</v>
      </c>
      <c r="O50" s="47">
        <f t="shared" si="0"/>
        <v>6831.6898133533196</v>
      </c>
      <c r="P50" s="47">
        <f t="shared" si="1"/>
        <v>5668.3101866467205</v>
      </c>
      <c r="Q50" s="52">
        <f t="shared" si="2"/>
        <v>12500.00000000004</v>
      </c>
      <c r="R50" s="47">
        <f t="shared" si="3"/>
        <v>937937.87995182723</v>
      </c>
    </row>
    <row r="51" spans="2:18" ht="14.4" thickBot="1" x14ac:dyDescent="0.3">
      <c r="E51" s="22">
        <f>RATE(1,,-E49,D49)</f>
        <v>-2.108763581036343E-2</v>
      </c>
      <c r="M51" s="50">
        <v>9</v>
      </c>
      <c r="N51" s="47">
        <f t="shared" si="4"/>
        <v>937937.87995182723</v>
      </c>
      <c r="O51" s="47">
        <f t="shared" si="0"/>
        <v>6872.6777306193962</v>
      </c>
      <c r="P51" s="47">
        <f t="shared" si="1"/>
        <v>5627.3222693806438</v>
      </c>
      <c r="Q51" s="52">
        <f t="shared" si="2"/>
        <v>12500.00000000004</v>
      </c>
      <c r="R51" s="47">
        <f t="shared" si="3"/>
        <v>931065.20222120779</v>
      </c>
    </row>
    <row r="52" spans="2:18" ht="14.4" thickBot="1" x14ac:dyDescent="0.3">
      <c r="B52" s="65"/>
      <c r="M52" s="50">
        <v>10</v>
      </c>
      <c r="N52" s="47">
        <f t="shared" si="4"/>
        <v>931065.20222120779</v>
      </c>
      <c r="O52" s="47">
        <f t="shared" si="0"/>
        <v>6913.9115620601069</v>
      </c>
      <c r="P52" s="47">
        <f t="shared" si="1"/>
        <v>5586.0884379399331</v>
      </c>
      <c r="Q52" s="52">
        <f t="shared" si="2"/>
        <v>12500.00000000004</v>
      </c>
      <c r="R52" s="47">
        <f t="shared" si="3"/>
        <v>924151.29065914766</v>
      </c>
    </row>
    <row r="53" spans="2:18" ht="14.4" thickBot="1" x14ac:dyDescent="0.3">
      <c r="M53" s="50">
        <v>11</v>
      </c>
      <c r="N53" s="47">
        <f t="shared" si="4"/>
        <v>924151.29065914766</v>
      </c>
      <c r="O53" s="47">
        <f t="shared" si="0"/>
        <v>6955.3927830805305</v>
      </c>
      <c r="P53" s="47">
        <f t="shared" si="1"/>
        <v>5544.6072169195095</v>
      </c>
      <c r="Q53" s="52">
        <f t="shared" si="2"/>
        <v>12500.00000000004</v>
      </c>
      <c r="R53" s="47">
        <f t="shared" si="3"/>
        <v>917195.89787606709</v>
      </c>
    </row>
    <row r="54" spans="2:18" ht="14.4" thickBot="1" x14ac:dyDescent="0.3">
      <c r="E54" s="11"/>
      <c r="M54" s="50">
        <v>12</v>
      </c>
      <c r="N54" s="47">
        <f t="shared" si="4"/>
        <v>917195.89787606709</v>
      </c>
      <c r="O54" s="47">
        <f t="shared" si="0"/>
        <v>6997.1228779376961</v>
      </c>
      <c r="P54" s="47">
        <f t="shared" si="1"/>
        <v>5502.8771220623439</v>
      </c>
      <c r="Q54" s="52">
        <f t="shared" si="2"/>
        <v>12500.00000000004</v>
      </c>
      <c r="R54" s="47">
        <f t="shared" si="3"/>
        <v>910198.77499812935</v>
      </c>
    </row>
    <row r="55" spans="2:18" ht="14.4" thickBot="1" x14ac:dyDescent="0.3">
      <c r="E55" s="11"/>
      <c r="M55" s="50">
        <v>13</v>
      </c>
      <c r="N55" s="47">
        <f t="shared" si="4"/>
        <v>910198.77499812935</v>
      </c>
      <c r="O55" s="47">
        <f t="shared" si="0"/>
        <v>7039.1033397936926</v>
      </c>
      <c r="P55" s="47">
        <f t="shared" si="1"/>
        <v>5460.8966602063474</v>
      </c>
      <c r="Q55" s="52">
        <f t="shared" si="2"/>
        <v>12500.00000000004</v>
      </c>
      <c r="R55" s="47">
        <f t="shared" si="3"/>
        <v>903159.6716583356</v>
      </c>
    </row>
    <row r="56" spans="2:18" ht="14.4" thickBot="1" x14ac:dyDescent="0.3">
      <c r="E56" s="8"/>
      <c r="M56" s="50">
        <v>14</v>
      </c>
      <c r="N56" s="47">
        <f t="shared" si="4"/>
        <v>903159.6716583356</v>
      </c>
      <c r="O56" s="47">
        <f t="shared" si="0"/>
        <v>7081.3356707690946</v>
      </c>
      <c r="P56" s="47">
        <f t="shared" si="1"/>
        <v>5418.6643292309454</v>
      </c>
      <c r="Q56" s="52">
        <f t="shared" si="2"/>
        <v>12500.00000000004</v>
      </c>
      <c r="R56" s="47">
        <f t="shared" si="3"/>
        <v>896078.3359875665</v>
      </c>
    </row>
    <row r="57" spans="2:18" ht="14.4" thickBot="1" x14ac:dyDescent="0.3">
      <c r="E57" s="8"/>
      <c r="M57" s="50">
        <v>15</v>
      </c>
      <c r="N57" s="47">
        <f t="shared" si="4"/>
        <v>896078.3359875665</v>
      </c>
      <c r="O57" s="47">
        <f t="shared" si="0"/>
        <v>7123.8213819967141</v>
      </c>
      <c r="P57" s="47">
        <f t="shared" si="1"/>
        <v>5376.1786180033259</v>
      </c>
      <c r="Q57" s="52">
        <f t="shared" si="2"/>
        <v>12500.00000000004</v>
      </c>
      <c r="R57" s="47">
        <f t="shared" si="3"/>
        <v>888954.51460556977</v>
      </c>
    </row>
    <row r="58" spans="2:18" ht="14.4" thickBot="1" x14ac:dyDescent="0.3">
      <c r="E58" s="8"/>
      <c r="M58" s="50">
        <v>16</v>
      </c>
      <c r="N58" s="47">
        <f t="shared" si="4"/>
        <v>888954.51460556977</v>
      </c>
      <c r="O58" s="47">
        <f t="shared" si="0"/>
        <v>7166.5619936756657</v>
      </c>
      <c r="P58" s="47">
        <f t="shared" si="1"/>
        <v>5333.4380063243743</v>
      </c>
      <c r="Q58" s="52">
        <f t="shared" si="2"/>
        <v>12500.00000000004</v>
      </c>
      <c r="R58" s="47">
        <f t="shared" si="3"/>
        <v>881787.95261189411</v>
      </c>
    </row>
    <row r="59" spans="2:18" ht="14.4" thickBot="1" x14ac:dyDescent="0.3">
      <c r="E59" s="8"/>
      <c r="M59" s="50">
        <v>17</v>
      </c>
      <c r="N59" s="47">
        <f t="shared" si="4"/>
        <v>881787.95261189411</v>
      </c>
      <c r="O59" s="47">
        <f t="shared" si="0"/>
        <v>7209.5590351257661</v>
      </c>
      <c r="P59" s="47">
        <f t="shared" si="1"/>
        <v>5290.440964874274</v>
      </c>
      <c r="Q59" s="52">
        <f t="shared" si="2"/>
        <v>12500.00000000004</v>
      </c>
      <c r="R59" s="47">
        <f t="shared" si="3"/>
        <v>874578.39357676834</v>
      </c>
    </row>
    <row r="60" spans="2:18" ht="14.4" thickBot="1" x14ac:dyDescent="0.3">
      <c r="M60" s="50">
        <v>18</v>
      </c>
      <c r="N60" s="47">
        <f t="shared" si="4"/>
        <v>874578.39357676834</v>
      </c>
      <c r="O60" s="47">
        <f t="shared" si="0"/>
        <v>7252.8140448422528</v>
      </c>
      <c r="P60" s="47">
        <f t="shared" si="1"/>
        <v>5247.1859551577872</v>
      </c>
      <c r="Q60" s="52">
        <f t="shared" si="2"/>
        <v>12500.00000000004</v>
      </c>
      <c r="R60" s="47">
        <f t="shared" si="3"/>
        <v>867325.57953192608</v>
      </c>
    </row>
    <row r="61" spans="2:18" ht="14.4" thickBot="1" x14ac:dyDescent="0.3">
      <c r="M61" s="50">
        <v>19</v>
      </c>
      <c r="N61" s="47">
        <f t="shared" si="4"/>
        <v>867325.57953192608</v>
      </c>
      <c r="O61" s="47">
        <f t="shared" si="0"/>
        <v>7296.328570550836</v>
      </c>
      <c r="P61" s="47">
        <f t="shared" si="1"/>
        <v>5203.671429449204</v>
      </c>
      <c r="Q61" s="52">
        <f t="shared" si="2"/>
        <v>12500.00000000004</v>
      </c>
      <c r="R61" s="47">
        <f t="shared" si="3"/>
        <v>860029.25096137519</v>
      </c>
    </row>
    <row r="62" spans="2:18" ht="14.4" thickBot="1" x14ac:dyDescent="0.3">
      <c r="M62" s="50">
        <v>20</v>
      </c>
      <c r="N62" s="47">
        <f t="shared" si="4"/>
        <v>860029.25096137519</v>
      </c>
      <c r="O62" s="47">
        <f t="shared" si="0"/>
        <v>7340.1041692630752</v>
      </c>
      <c r="P62" s="47">
        <f t="shared" si="1"/>
        <v>5159.8958307369649</v>
      </c>
      <c r="Q62" s="52">
        <f t="shared" si="2"/>
        <v>12500.00000000004</v>
      </c>
      <c r="R62" s="47">
        <f t="shared" si="3"/>
        <v>852689.14679211215</v>
      </c>
    </row>
    <row r="63" spans="2:18" ht="14.4" thickBot="1" x14ac:dyDescent="0.3">
      <c r="M63" s="50">
        <v>21</v>
      </c>
      <c r="N63" s="47">
        <f t="shared" si="4"/>
        <v>852689.14679211215</v>
      </c>
      <c r="O63" s="47">
        <f t="shared" si="0"/>
        <v>7384.1424073320923</v>
      </c>
      <c r="P63" s="47">
        <f t="shared" si="1"/>
        <v>5115.8575926679478</v>
      </c>
      <c r="Q63" s="52">
        <f t="shared" si="2"/>
        <v>12500.00000000004</v>
      </c>
      <c r="R63" s="47">
        <f t="shared" si="3"/>
        <v>845305.00438478007</v>
      </c>
    </row>
    <row r="64" spans="2:18" ht="14.4" thickBot="1" x14ac:dyDescent="0.3">
      <c r="M64" s="50">
        <v>22</v>
      </c>
      <c r="N64" s="47">
        <f t="shared" si="4"/>
        <v>845305.00438478007</v>
      </c>
      <c r="O64" s="47">
        <f t="shared" si="0"/>
        <v>7428.44486050862</v>
      </c>
      <c r="P64" s="47">
        <f t="shared" si="1"/>
        <v>5071.5551394914201</v>
      </c>
      <c r="Q64" s="52">
        <f t="shared" si="2"/>
        <v>12500.00000000004</v>
      </c>
      <c r="R64" s="47">
        <f t="shared" si="3"/>
        <v>837876.5595242714</v>
      </c>
    </row>
    <row r="65" spans="13:18" ht="14.4" thickBot="1" x14ac:dyDescent="0.3">
      <c r="M65" s="50">
        <v>23</v>
      </c>
      <c r="N65" s="47">
        <f t="shared" si="4"/>
        <v>837876.5595242714</v>
      </c>
      <c r="O65" s="47">
        <f t="shared" si="0"/>
        <v>7473.0131139973837</v>
      </c>
      <c r="P65" s="47">
        <f t="shared" si="1"/>
        <v>5026.9868860026563</v>
      </c>
      <c r="Q65" s="52">
        <f t="shared" si="2"/>
        <v>12500.00000000004</v>
      </c>
      <c r="R65" s="47">
        <f t="shared" si="3"/>
        <v>830403.54641027399</v>
      </c>
    </row>
    <row r="66" spans="13:18" ht="14.4" thickBot="1" x14ac:dyDescent="0.3">
      <c r="M66" s="50">
        <v>24</v>
      </c>
      <c r="N66" s="47">
        <f t="shared" si="4"/>
        <v>830403.54641027399</v>
      </c>
      <c r="O66" s="47">
        <f t="shared" si="0"/>
        <v>7517.8487625138196</v>
      </c>
      <c r="P66" s="47">
        <f t="shared" si="1"/>
        <v>4982.1512374862205</v>
      </c>
      <c r="Q66" s="52">
        <f t="shared" si="2"/>
        <v>12500.00000000004</v>
      </c>
      <c r="R66" s="47">
        <f t="shared" si="3"/>
        <v>822885.69764776016</v>
      </c>
    </row>
    <row r="67" spans="13:18" ht="14.4" thickBot="1" x14ac:dyDescent="0.3">
      <c r="M67" s="50">
        <v>25</v>
      </c>
      <c r="N67" s="47">
        <f t="shared" si="4"/>
        <v>822885.69764776016</v>
      </c>
      <c r="O67" s="47">
        <f t="shared" si="0"/>
        <v>7562.9534103411388</v>
      </c>
      <c r="P67" s="47">
        <f t="shared" si="1"/>
        <v>4937.0465896589012</v>
      </c>
      <c r="Q67" s="52">
        <f t="shared" si="2"/>
        <v>12500.00000000004</v>
      </c>
      <c r="R67" s="47">
        <f t="shared" si="3"/>
        <v>815322.74423741898</v>
      </c>
    </row>
    <row r="68" spans="13:18" ht="14.4" thickBot="1" x14ac:dyDescent="0.3">
      <c r="M68" s="50">
        <v>26</v>
      </c>
      <c r="N68" s="47">
        <f t="shared" si="4"/>
        <v>815322.74423741898</v>
      </c>
      <c r="O68" s="47">
        <f t="shared" si="0"/>
        <v>7608.3286713877305</v>
      </c>
      <c r="P68" s="47">
        <f t="shared" si="1"/>
        <v>4891.6713286123095</v>
      </c>
      <c r="Q68" s="52">
        <f t="shared" si="2"/>
        <v>12500.00000000004</v>
      </c>
      <c r="R68" s="47">
        <f t="shared" si="3"/>
        <v>807714.41556603124</v>
      </c>
    </row>
    <row r="69" spans="13:18" ht="14.4" thickBot="1" x14ac:dyDescent="0.3">
      <c r="M69" s="50">
        <v>27</v>
      </c>
      <c r="N69" s="47">
        <f t="shared" si="4"/>
        <v>807714.41556603124</v>
      </c>
      <c r="O69" s="47">
        <f t="shared" si="0"/>
        <v>7653.9761692449092</v>
      </c>
      <c r="P69" s="47">
        <f t="shared" si="1"/>
        <v>4846.0238307551308</v>
      </c>
      <c r="Q69" s="52">
        <f t="shared" si="2"/>
        <v>12500.00000000004</v>
      </c>
      <c r="R69" s="47">
        <f t="shared" si="3"/>
        <v>800060.43939678639</v>
      </c>
    </row>
    <row r="70" spans="13:18" ht="14.4" thickBot="1" x14ac:dyDescent="0.3">
      <c r="M70" s="50">
        <v>28</v>
      </c>
      <c r="N70" s="47">
        <f t="shared" si="4"/>
        <v>800060.43939678639</v>
      </c>
      <c r="O70" s="47">
        <f t="shared" si="0"/>
        <v>7699.8975372450077</v>
      </c>
      <c r="P70" s="47">
        <f t="shared" si="1"/>
        <v>4800.1024627550323</v>
      </c>
      <c r="Q70" s="52">
        <f t="shared" si="2"/>
        <v>12500.00000000004</v>
      </c>
      <c r="R70" s="47">
        <f t="shared" si="3"/>
        <v>792360.54185954132</v>
      </c>
    </row>
    <row r="71" spans="13:18" ht="14.4" thickBot="1" x14ac:dyDescent="0.3">
      <c r="M71" s="50">
        <v>29</v>
      </c>
      <c r="N71" s="47">
        <f t="shared" si="4"/>
        <v>792360.54185954132</v>
      </c>
      <c r="O71" s="47">
        <f t="shared" si="0"/>
        <v>7746.094418519825</v>
      </c>
      <c r="P71" s="47">
        <f t="shared" si="1"/>
        <v>4753.905581480215</v>
      </c>
      <c r="Q71" s="52">
        <f t="shared" si="2"/>
        <v>12500.00000000004</v>
      </c>
      <c r="R71" s="47">
        <f t="shared" si="3"/>
        <v>784614.44744102145</v>
      </c>
    </row>
    <row r="72" spans="13:18" ht="14.4" thickBot="1" x14ac:dyDescent="0.3">
      <c r="M72" s="50">
        <v>30</v>
      </c>
      <c r="N72" s="47">
        <f t="shared" si="4"/>
        <v>784614.44744102145</v>
      </c>
      <c r="O72" s="47">
        <f t="shared" si="0"/>
        <v>7792.5684660594134</v>
      </c>
      <c r="P72" s="47">
        <f t="shared" si="1"/>
        <v>4707.4315339406267</v>
      </c>
      <c r="Q72" s="52">
        <f t="shared" si="2"/>
        <v>12500.00000000004</v>
      </c>
      <c r="R72" s="47">
        <f t="shared" si="3"/>
        <v>776821.87897496205</v>
      </c>
    </row>
    <row r="73" spans="13:18" ht="14.4" thickBot="1" x14ac:dyDescent="0.3">
      <c r="M73" s="50">
        <v>31</v>
      </c>
      <c r="N73" s="47">
        <f t="shared" ref="N73:N136" si="5">R72</f>
        <v>776821.87897496205</v>
      </c>
      <c r="O73" s="47">
        <f t="shared" ref="O73:O136" si="6">Q73-P73</f>
        <v>7839.321342771229</v>
      </c>
      <c r="P73" s="47">
        <f t="shared" ref="P73:P136" si="7">$N$40*N73</f>
        <v>4660.6786572288111</v>
      </c>
      <c r="Q73" s="52">
        <f t="shared" si="2"/>
        <v>12500.00000000004</v>
      </c>
      <c r="R73" s="47">
        <f t="shared" ref="R73:R136" si="8">N73-O73</f>
        <v>768982.55763219087</v>
      </c>
    </row>
    <row r="74" spans="13:18" ht="14.4" thickBot="1" x14ac:dyDescent="0.3">
      <c r="M74" s="50">
        <v>32</v>
      </c>
      <c r="N74" s="47">
        <f t="shared" si="5"/>
        <v>768982.55763219087</v>
      </c>
      <c r="O74" s="47">
        <f t="shared" si="6"/>
        <v>7886.354721539632</v>
      </c>
      <c r="P74" s="47">
        <f t="shared" si="7"/>
        <v>4613.645278460408</v>
      </c>
      <c r="Q74" s="52">
        <f t="shared" si="2"/>
        <v>12500.00000000004</v>
      </c>
      <c r="R74" s="47">
        <f t="shared" si="8"/>
        <v>761096.20291065122</v>
      </c>
    </row>
    <row r="75" spans="13:18" ht="14.4" thickBot="1" x14ac:dyDescent="0.3">
      <c r="M75" s="50">
        <v>33</v>
      </c>
      <c r="N75" s="47">
        <f t="shared" si="5"/>
        <v>761096.20291065122</v>
      </c>
      <c r="O75" s="47">
        <f t="shared" si="6"/>
        <v>7933.6702852857461</v>
      </c>
      <c r="P75" s="47">
        <f t="shared" si="7"/>
        <v>4566.3297147142939</v>
      </c>
      <c r="Q75" s="52">
        <f t="shared" si="2"/>
        <v>12500.00000000004</v>
      </c>
      <c r="R75" s="47">
        <f t="shared" si="8"/>
        <v>753162.53262536542</v>
      </c>
    </row>
    <row r="76" spans="13:18" ht="14.4" thickBot="1" x14ac:dyDescent="0.3">
      <c r="M76" s="50">
        <v>34</v>
      </c>
      <c r="N76" s="47">
        <f t="shared" si="5"/>
        <v>753162.53262536542</v>
      </c>
      <c r="O76" s="47">
        <f t="shared" si="6"/>
        <v>7981.2697270276713</v>
      </c>
      <c r="P76" s="47">
        <f t="shared" si="7"/>
        <v>4518.7302729723688</v>
      </c>
      <c r="Q76" s="52">
        <f t="shared" si="2"/>
        <v>12500.00000000004</v>
      </c>
      <c r="R76" s="47">
        <f t="shared" si="8"/>
        <v>745181.26289833779</v>
      </c>
    </row>
    <row r="77" spans="13:18" ht="14.4" thickBot="1" x14ac:dyDescent="0.3">
      <c r="M77" s="50">
        <v>35</v>
      </c>
      <c r="N77" s="47">
        <f t="shared" si="5"/>
        <v>745181.26289833779</v>
      </c>
      <c r="O77" s="47">
        <f t="shared" si="6"/>
        <v>8029.1547499410681</v>
      </c>
      <c r="P77" s="47">
        <f t="shared" si="7"/>
        <v>4470.8452500589719</v>
      </c>
      <c r="Q77" s="52">
        <f t="shared" si="2"/>
        <v>12500.00000000004</v>
      </c>
      <c r="R77" s="47">
        <f t="shared" si="8"/>
        <v>737152.10814839671</v>
      </c>
    </row>
    <row r="78" spans="13:18" ht="14.4" thickBot="1" x14ac:dyDescent="0.3">
      <c r="M78" s="50">
        <v>36</v>
      </c>
      <c r="N78" s="47">
        <f t="shared" si="5"/>
        <v>737152.10814839671</v>
      </c>
      <c r="O78" s="47">
        <f t="shared" si="6"/>
        <v>8077.3270674200976</v>
      </c>
      <c r="P78" s="47">
        <f t="shared" si="7"/>
        <v>4422.6729325799424</v>
      </c>
      <c r="Q78" s="52">
        <f t="shared" si="2"/>
        <v>12500.00000000004</v>
      </c>
      <c r="R78" s="47">
        <f t="shared" si="8"/>
        <v>729074.78108097659</v>
      </c>
    </row>
    <row r="79" spans="13:18" ht="14.4" thickBot="1" x14ac:dyDescent="0.3">
      <c r="M79" s="50">
        <v>37</v>
      </c>
      <c r="N79" s="47">
        <f t="shared" si="5"/>
        <v>729074.78108097659</v>
      </c>
      <c r="O79" s="47">
        <f t="shared" si="6"/>
        <v>8125.7884031387257</v>
      </c>
      <c r="P79" s="47">
        <f t="shared" si="7"/>
        <v>4374.2115968613143</v>
      </c>
      <c r="Q79" s="52">
        <f t="shared" si="2"/>
        <v>12500.00000000004</v>
      </c>
      <c r="R79" s="47">
        <f t="shared" si="8"/>
        <v>720948.99267783784</v>
      </c>
    </row>
    <row r="80" spans="13:18" ht="14.4" thickBot="1" x14ac:dyDescent="0.3">
      <c r="M80" s="50">
        <v>38</v>
      </c>
      <c r="N80" s="47">
        <f t="shared" si="5"/>
        <v>720948.99267783784</v>
      </c>
      <c r="O80" s="47">
        <f t="shared" si="6"/>
        <v>8174.5404911124051</v>
      </c>
      <c r="P80" s="47">
        <f t="shared" si="7"/>
        <v>4325.4595088876349</v>
      </c>
      <c r="Q80" s="52">
        <f t="shared" si="2"/>
        <v>12500.00000000004</v>
      </c>
      <c r="R80" s="47">
        <f t="shared" si="8"/>
        <v>712774.45218672545</v>
      </c>
    </row>
    <row r="81" spans="13:18" ht="14.4" thickBot="1" x14ac:dyDescent="0.3">
      <c r="M81" s="50">
        <v>39</v>
      </c>
      <c r="N81" s="47">
        <f t="shared" si="5"/>
        <v>712774.45218672545</v>
      </c>
      <c r="O81" s="47">
        <f t="shared" si="6"/>
        <v>8223.5850757601147</v>
      </c>
      <c r="P81" s="47">
        <f t="shared" si="7"/>
        <v>4276.4149242399253</v>
      </c>
      <c r="Q81" s="52">
        <f t="shared" si="2"/>
        <v>12500.00000000004</v>
      </c>
      <c r="R81" s="47">
        <f t="shared" si="8"/>
        <v>704550.86711096531</v>
      </c>
    </row>
    <row r="82" spans="13:18" ht="14.4" thickBot="1" x14ac:dyDescent="0.3">
      <c r="M82" s="50">
        <v>40</v>
      </c>
      <c r="N82" s="47">
        <f t="shared" si="5"/>
        <v>704550.86711096531</v>
      </c>
      <c r="O82" s="47">
        <f t="shared" si="6"/>
        <v>8272.9239119667818</v>
      </c>
      <c r="P82" s="47">
        <f t="shared" si="7"/>
        <v>4227.0760880332582</v>
      </c>
      <c r="Q82" s="52">
        <f t="shared" si="2"/>
        <v>12500.00000000004</v>
      </c>
      <c r="R82" s="47">
        <f t="shared" si="8"/>
        <v>696277.94319899858</v>
      </c>
    </row>
    <row r="83" spans="13:18" ht="14.4" thickBot="1" x14ac:dyDescent="0.3">
      <c r="M83" s="50">
        <v>41</v>
      </c>
      <c r="N83" s="47">
        <f t="shared" si="5"/>
        <v>696277.94319899858</v>
      </c>
      <c r="O83" s="47">
        <f t="shared" si="6"/>
        <v>8322.5587651460701</v>
      </c>
      <c r="P83" s="47">
        <f t="shared" si="7"/>
        <v>4177.4412348539699</v>
      </c>
      <c r="Q83" s="52">
        <f t="shared" si="2"/>
        <v>12500.00000000004</v>
      </c>
      <c r="R83" s="47">
        <f t="shared" si="8"/>
        <v>687955.38443385251</v>
      </c>
    </row>
    <row r="84" spans="13:18" ht="14.4" thickBot="1" x14ac:dyDescent="0.3">
      <c r="M84" s="50">
        <v>42</v>
      </c>
      <c r="N84" s="47">
        <f t="shared" si="5"/>
        <v>687955.38443385251</v>
      </c>
      <c r="O84" s="47">
        <f t="shared" si="6"/>
        <v>8372.4914113035538</v>
      </c>
      <c r="P84" s="47">
        <f t="shared" si="7"/>
        <v>4127.5085886964862</v>
      </c>
      <c r="Q84" s="52">
        <f t="shared" si="2"/>
        <v>12500.00000000004</v>
      </c>
      <c r="R84" s="47">
        <f t="shared" si="8"/>
        <v>679582.89302254899</v>
      </c>
    </row>
    <row r="85" spans="13:18" ht="14.4" thickBot="1" x14ac:dyDescent="0.3">
      <c r="M85" s="50">
        <v>43</v>
      </c>
      <c r="N85" s="47">
        <f t="shared" si="5"/>
        <v>679582.89302254899</v>
      </c>
      <c r="O85" s="47">
        <f t="shared" si="6"/>
        <v>8422.7236371002618</v>
      </c>
      <c r="P85" s="47">
        <f t="shared" si="7"/>
        <v>4077.2763628997773</v>
      </c>
      <c r="Q85" s="52">
        <f t="shared" si="2"/>
        <v>12500.00000000004</v>
      </c>
      <c r="R85" s="47">
        <f t="shared" si="8"/>
        <v>671160.16938544868</v>
      </c>
    </row>
    <row r="86" spans="13:18" ht="14.4" thickBot="1" x14ac:dyDescent="0.3">
      <c r="M86" s="50">
        <v>44</v>
      </c>
      <c r="N86" s="47">
        <f t="shared" si="5"/>
        <v>671160.16938544868</v>
      </c>
      <c r="O86" s="47">
        <f t="shared" si="6"/>
        <v>8473.2572399166111</v>
      </c>
      <c r="P86" s="47">
        <f t="shared" si="7"/>
        <v>4026.7427600834289</v>
      </c>
      <c r="Q86" s="52">
        <f t="shared" si="2"/>
        <v>12500.00000000004</v>
      </c>
      <c r="R86" s="47">
        <f t="shared" si="8"/>
        <v>662686.91214553209</v>
      </c>
    </row>
    <row r="87" spans="13:18" ht="14.4" thickBot="1" x14ac:dyDescent="0.3">
      <c r="M87" s="50">
        <v>45</v>
      </c>
      <c r="N87" s="47">
        <f t="shared" si="5"/>
        <v>662686.91214553209</v>
      </c>
      <c r="O87" s="47">
        <f t="shared" si="6"/>
        <v>8524.0940279167098</v>
      </c>
      <c r="P87" s="47">
        <f t="shared" si="7"/>
        <v>3975.9059720833297</v>
      </c>
      <c r="Q87" s="52">
        <f t="shared" si="2"/>
        <v>12500.00000000004</v>
      </c>
      <c r="R87" s="47">
        <f t="shared" si="8"/>
        <v>654162.81811761542</v>
      </c>
    </row>
    <row r="88" spans="13:18" ht="14.4" thickBot="1" x14ac:dyDescent="0.3">
      <c r="M88" s="50">
        <v>46</v>
      </c>
      <c r="N88" s="47">
        <f t="shared" si="5"/>
        <v>654162.81811761542</v>
      </c>
      <c r="O88" s="47">
        <f t="shared" si="6"/>
        <v>8575.2358201130701</v>
      </c>
      <c r="P88" s="47">
        <f t="shared" si="7"/>
        <v>3924.7641798869709</v>
      </c>
      <c r="Q88" s="52">
        <f t="shared" si="2"/>
        <v>12500.00000000004</v>
      </c>
      <c r="R88" s="47">
        <f t="shared" si="8"/>
        <v>645587.58229750232</v>
      </c>
    </row>
    <row r="89" spans="13:18" ht="14.4" thickBot="1" x14ac:dyDescent="0.3">
      <c r="M89" s="50">
        <v>47</v>
      </c>
      <c r="N89" s="47">
        <f t="shared" si="5"/>
        <v>645587.58229750232</v>
      </c>
      <c r="O89" s="47">
        <f t="shared" si="6"/>
        <v>8626.6844464316819</v>
      </c>
      <c r="P89" s="47">
        <f t="shared" si="7"/>
        <v>3873.3155535683582</v>
      </c>
      <c r="Q89" s="52">
        <f t="shared" si="2"/>
        <v>12500.00000000004</v>
      </c>
      <c r="R89" s="47">
        <f t="shared" si="8"/>
        <v>636960.89785107062</v>
      </c>
    </row>
    <row r="90" spans="13:18" ht="14.4" thickBot="1" x14ac:dyDescent="0.3">
      <c r="M90" s="50">
        <v>48</v>
      </c>
      <c r="N90" s="47">
        <f t="shared" si="5"/>
        <v>636960.89785107062</v>
      </c>
      <c r="O90" s="47">
        <f t="shared" si="6"/>
        <v>8678.4417477775005</v>
      </c>
      <c r="P90" s="47">
        <f t="shared" si="7"/>
        <v>3821.55825222254</v>
      </c>
      <c r="Q90" s="52">
        <f t="shared" si="2"/>
        <v>12500.00000000004</v>
      </c>
      <c r="R90" s="47">
        <f t="shared" si="8"/>
        <v>628282.45610329311</v>
      </c>
    </row>
    <row r="91" spans="13:18" ht="14.4" thickBot="1" x14ac:dyDescent="0.3">
      <c r="M91" s="50">
        <v>49</v>
      </c>
      <c r="N91" s="47">
        <f t="shared" si="5"/>
        <v>628282.45610329311</v>
      </c>
      <c r="O91" s="47">
        <f t="shared" si="6"/>
        <v>8730.5095761003085</v>
      </c>
      <c r="P91" s="47">
        <f t="shared" si="7"/>
        <v>3769.490423899731</v>
      </c>
      <c r="Q91" s="52">
        <f t="shared" si="2"/>
        <v>12500.00000000004</v>
      </c>
      <c r="R91" s="47">
        <f t="shared" si="8"/>
        <v>619551.94652719283</v>
      </c>
    </row>
    <row r="92" spans="13:18" ht="14.4" thickBot="1" x14ac:dyDescent="0.3">
      <c r="M92" s="50">
        <v>50</v>
      </c>
      <c r="N92" s="47">
        <f t="shared" si="5"/>
        <v>619551.94652719283</v>
      </c>
      <c r="O92" s="47">
        <f t="shared" si="6"/>
        <v>8782.8897944609889</v>
      </c>
      <c r="P92" s="47">
        <f t="shared" si="7"/>
        <v>3717.1102055390511</v>
      </c>
      <c r="Q92" s="52">
        <f t="shared" si="2"/>
        <v>12500.00000000004</v>
      </c>
      <c r="R92" s="47">
        <f t="shared" si="8"/>
        <v>610769.05673273187</v>
      </c>
    </row>
    <row r="93" spans="13:18" ht="14.4" thickBot="1" x14ac:dyDescent="0.3">
      <c r="M93" s="50">
        <v>51</v>
      </c>
      <c r="N93" s="47">
        <f t="shared" si="5"/>
        <v>610769.05673273187</v>
      </c>
      <c r="O93" s="47">
        <f t="shared" si="6"/>
        <v>8835.5842770981799</v>
      </c>
      <c r="P93" s="47">
        <f t="shared" si="7"/>
        <v>3664.4157229018592</v>
      </c>
      <c r="Q93" s="52">
        <f t="shared" si="2"/>
        <v>12500.00000000004</v>
      </c>
      <c r="R93" s="47">
        <f t="shared" si="8"/>
        <v>601933.47245563369</v>
      </c>
    </row>
    <row r="94" spans="13:18" ht="14.4" thickBot="1" x14ac:dyDescent="0.3">
      <c r="M94" s="50">
        <v>52</v>
      </c>
      <c r="N94" s="47">
        <f t="shared" si="5"/>
        <v>601933.47245563369</v>
      </c>
      <c r="O94" s="47">
        <f t="shared" si="6"/>
        <v>8888.5949094953467</v>
      </c>
      <c r="P94" s="47">
        <f t="shared" si="7"/>
        <v>3611.4050905046925</v>
      </c>
      <c r="Q94" s="52">
        <f t="shared" si="2"/>
        <v>12500.00000000004</v>
      </c>
      <c r="R94" s="47">
        <f t="shared" si="8"/>
        <v>593044.87754613836</v>
      </c>
    </row>
    <row r="95" spans="13:18" ht="14.4" thickBot="1" x14ac:dyDescent="0.3">
      <c r="M95" s="50">
        <v>53</v>
      </c>
      <c r="N95" s="47">
        <f t="shared" si="5"/>
        <v>593044.87754613836</v>
      </c>
      <c r="O95" s="47">
        <f t="shared" si="6"/>
        <v>8941.9235884482387</v>
      </c>
      <c r="P95" s="47">
        <f t="shared" si="7"/>
        <v>3558.0764115518014</v>
      </c>
      <c r="Q95" s="52">
        <f t="shared" si="2"/>
        <v>12500.00000000004</v>
      </c>
      <c r="R95" s="47">
        <f t="shared" si="8"/>
        <v>584102.95395769016</v>
      </c>
    </row>
    <row r="96" spans="13:18" ht="14.4" thickBot="1" x14ac:dyDescent="0.3">
      <c r="M96" s="50">
        <v>54</v>
      </c>
      <c r="N96" s="47">
        <f t="shared" si="5"/>
        <v>584102.95395769016</v>
      </c>
      <c r="O96" s="47">
        <f t="shared" si="6"/>
        <v>8995.5722221327633</v>
      </c>
      <c r="P96" s="47">
        <f t="shared" si="7"/>
        <v>3504.4277778672772</v>
      </c>
      <c r="Q96" s="52">
        <f t="shared" si="2"/>
        <v>12500.00000000004</v>
      </c>
      <c r="R96" s="47">
        <f t="shared" si="8"/>
        <v>575107.38173555734</v>
      </c>
    </row>
    <row r="97" spans="13:18" ht="14.4" thickBot="1" x14ac:dyDescent="0.3">
      <c r="M97" s="50">
        <v>55</v>
      </c>
      <c r="N97" s="47">
        <f t="shared" si="5"/>
        <v>575107.38173555734</v>
      </c>
      <c r="O97" s="47">
        <f t="shared" si="6"/>
        <v>9049.5427301732634</v>
      </c>
      <c r="P97" s="47">
        <f t="shared" si="7"/>
        <v>3450.4572698267771</v>
      </c>
      <c r="Q97" s="52">
        <f t="shared" si="2"/>
        <v>12500.00000000004</v>
      </c>
      <c r="R97" s="47">
        <f t="shared" si="8"/>
        <v>566057.83900538413</v>
      </c>
    </row>
    <row r="98" spans="13:18" ht="14.4" thickBot="1" x14ac:dyDescent="0.3">
      <c r="M98" s="50">
        <v>56</v>
      </c>
      <c r="N98" s="47">
        <f t="shared" si="5"/>
        <v>566057.83900538413</v>
      </c>
      <c r="O98" s="47">
        <f t="shared" si="6"/>
        <v>9103.8370437112026</v>
      </c>
      <c r="P98" s="47">
        <f t="shared" si="7"/>
        <v>3396.1629562888365</v>
      </c>
      <c r="Q98" s="52">
        <f t="shared" si="2"/>
        <v>12500.00000000004</v>
      </c>
      <c r="R98" s="47">
        <f t="shared" si="8"/>
        <v>556954.00196167291</v>
      </c>
    </row>
    <row r="99" spans="13:18" ht="14.4" thickBot="1" x14ac:dyDescent="0.3">
      <c r="M99" s="50">
        <v>57</v>
      </c>
      <c r="N99" s="47">
        <f t="shared" si="5"/>
        <v>556954.00196167291</v>
      </c>
      <c r="O99" s="47">
        <f t="shared" si="6"/>
        <v>9158.4571054742701</v>
      </c>
      <c r="P99" s="47">
        <f t="shared" si="7"/>
        <v>3341.54289452577</v>
      </c>
      <c r="Q99" s="52">
        <f t="shared" si="2"/>
        <v>12500.00000000004</v>
      </c>
      <c r="R99" s="47">
        <f t="shared" si="8"/>
        <v>547795.5448561986</v>
      </c>
    </row>
    <row r="100" spans="13:18" ht="14.4" thickBot="1" x14ac:dyDescent="0.3">
      <c r="M100" s="50">
        <v>58</v>
      </c>
      <c r="N100" s="47">
        <f t="shared" si="5"/>
        <v>547795.5448561986</v>
      </c>
      <c r="O100" s="47">
        <f t="shared" si="6"/>
        <v>9213.4048698458828</v>
      </c>
      <c r="P100" s="47">
        <f t="shared" si="7"/>
        <v>3286.5951301541572</v>
      </c>
      <c r="Q100" s="52">
        <f t="shared" si="2"/>
        <v>12500.00000000004</v>
      </c>
      <c r="R100" s="47">
        <f t="shared" si="8"/>
        <v>538582.13998635276</v>
      </c>
    </row>
    <row r="101" spans="13:18" ht="14.4" thickBot="1" x14ac:dyDescent="0.3">
      <c r="M101" s="50">
        <v>59</v>
      </c>
      <c r="N101" s="47">
        <f t="shared" si="5"/>
        <v>538582.13998635276</v>
      </c>
      <c r="O101" s="47">
        <f t="shared" si="6"/>
        <v>9268.6823029351253</v>
      </c>
      <c r="P101" s="47">
        <f t="shared" si="7"/>
        <v>3231.3176970649142</v>
      </c>
      <c r="Q101" s="52">
        <f t="shared" si="2"/>
        <v>12500.00000000004</v>
      </c>
      <c r="R101" s="47">
        <f t="shared" si="8"/>
        <v>529313.4576834176</v>
      </c>
    </row>
    <row r="102" spans="13:18" ht="14.4" thickBot="1" x14ac:dyDescent="0.3">
      <c r="M102" s="50">
        <v>60</v>
      </c>
      <c r="N102" s="47">
        <f t="shared" si="5"/>
        <v>529313.4576834176</v>
      </c>
      <c r="O102" s="47">
        <f t="shared" si="6"/>
        <v>9324.2913826470995</v>
      </c>
      <c r="P102" s="47">
        <f t="shared" si="7"/>
        <v>3175.7086173529401</v>
      </c>
      <c r="Q102" s="52">
        <f t="shared" si="2"/>
        <v>12500.00000000004</v>
      </c>
      <c r="R102" s="47">
        <f t="shared" si="8"/>
        <v>519989.16630077048</v>
      </c>
    </row>
    <row r="103" spans="13:18" ht="14.4" thickBot="1" x14ac:dyDescent="0.3">
      <c r="M103" s="50">
        <v>61</v>
      </c>
      <c r="N103" s="47">
        <f t="shared" si="5"/>
        <v>519989.16630077048</v>
      </c>
      <c r="O103" s="47">
        <f t="shared" si="6"/>
        <v>9380.2340987536918</v>
      </c>
      <c r="P103" s="47">
        <f t="shared" si="7"/>
        <v>3119.7659012463478</v>
      </c>
      <c r="Q103" s="52">
        <f t="shared" si="2"/>
        <v>12500.00000000004</v>
      </c>
      <c r="R103" s="47">
        <f t="shared" si="8"/>
        <v>510608.93220201676</v>
      </c>
    </row>
    <row r="104" spans="13:18" ht="14.4" thickBot="1" x14ac:dyDescent="0.3">
      <c r="M104" s="50">
        <v>62</v>
      </c>
      <c r="N104" s="47">
        <f t="shared" si="5"/>
        <v>510608.93220201676</v>
      </c>
      <c r="O104" s="47">
        <f t="shared" si="6"/>
        <v>9436.5124529647746</v>
      </c>
      <c r="P104" s="47">
        <f t="shared" si="7"/>
        <v>3063.4875470352654</v>
      </c>
      <c r="Q104" s="52">
        <f t="shared" si="2"/>
        <v>12500.00000000004</v>
      </c>
      <c r="R104" s="47">
        <f t="shared" si="8"/>
        <v>501172.41974905197</v>
      </c>
    </row>
    <row r="105" spans="13:18" ht="14.4" thickBot="1" x14ac:dyDescent="0.3">
      <c r="M105" s="50">
        <v>63</v>
      </c>
      <c r="N105" s="47">
        <f t="shared" si="5"/>
        <v>501172.41974905197</v>
      </c>
      <c r="O105" s="47">
        <f t="shared" si="6"/>
        <v>9493.1284589998268</v>
      </c>
      <c r="P105" s="47">
        <f t="shared" si="7"/>
        <v>3006.8715410002133</v>
      </c>
      <c r="Q105" s="52">
        <f t="shared" si="2"/>
        <v>12500.00000000004</v>
      </c>
      <c r="R105" s="47">
        <f t="shared" si="8"/>
        <v>491679.29129005212</v>
      </c>
    </row>
    <row r="106" spans="13:18" ht="14.4" thickBot="1" x14ac:dyDescent="0.3">
      <c r="M106" s="50">
        <v>64</v>
      </c>
      <c r="N106" s="47">
        <f t="shared" si="5"/>
        <v>491679.29129005212</v>
      </c>
      <c r="O106" s="47">
        <f t="shared" si="6"/>
        <v>9550.0841426599909</v>
      </c>
      <c r="P106" s="47">
        <f t="shared" si="7"/>
        <v>2949.9158573400496</v>
      </c>
      <c r="Q106" s="52">
        <f t="shared" si="2"/>
        <v>12500.00000000004</v>
      </c>
      <c r="R106" s="47">
        <f t="shared" si="8"/>
        <v>482129.20714739215</v>
      </c>
    </row>
    <row r="107" spans="13:18" ht="14.4" thickBot="1" x14ac:dyDescent="0.3">
      <c r="M107" s="50">
        <v>65</v>
      </c>
      <c r="N107" s="47">
        <f t="shared" si="5"/>
        <v>482129.20714739215</v>
      </c>
      <c r="O107" s="47">
        <f t="shared" si="6"/>
        <v>9607.381541900555</v>
      </c>
      <c r="P107" s="47">
        <f t="shared" si="7"/>
        <v>2892.6184580994841</v>
      </c>
      <c r="Q107" s="52">
        <f t="shared" si="2"/>
        <v>12500.00000000004</v>
      </c>
      <c r="R107" s="47">
        <f t="shared" si="8"/>
        <v>472521.82560549158</v>
      </c>
    </row>
    <row r="108" spans="13:18" ht="14.4" thickBot="1" x14ac:dyDescent="0.3">
      <c r="M108" s="50">
        <v>66</v>
      </c>
      <c r="N108" s="47">
        <f t="shared" si="5"/>
        <v>472521.82560549158</v>
      </c>
      <c r="O108" s="47">
        <f t="shared" si="6"/>
        <v>9665.0227069038829</v>
      </c>
      <c r="P108" s="47">
        <f t="shared" si="7"/>
        <v>2834.9772930961576</v>
      </c>
      <c r="Q108" s="52">
        <f t="shared" ref="Q108:Q150" si="9">$N$41</f>
        <v>12500.00000000004</v>
      </c>
      <c r="R108" s="47">
        <f t="shared" si="8"/>
        <v>462856.80289858772</v>
      </c>
    </row>
    <row r="109" spans="13:18" ht="14.4" thickBot="1" x14ac:dyDescent="0.3">
      <c r="M109" s="50">
        <v>67</v>
      </c>
      <c r="N109" s="47">
        <f t="shared" si="5"/>
        <v>462856.80289858772</v>
      </c>
      <c r="O109" s="47">
        <f t="shared" si="6"/>
        <v>9723.0097001527574</v>
      </c>
      <c r="P109" s="47">
        <f t="shared" si="7"/>
        <v>2776.9902998472835</v>
      </c>
      <c r="Q109" s="52">
        <f t="shared" si="9"/>
        <v>12500.00000000004</v>
      </c>
      <c r="R109" s="47">
        <f t="shared" si="8"/>
        <v>453133.79319843499</v>
      </c>
    </row>
    <row r="110" spans="13:18" ht="14.4" thickBot="1" x14ac:dyDescent="0.3">
      <c r="M110" s="50">
        <v>68</v>
      </c>
      <c r="N110" s="47">
        <f t="shared" si="5"/>
        <v>453133.79319843499</v>
      </c>
      <c r="O110" s="47">
        <f t="shared" si="6"/>
        <v>9781.3445965041901</v>
      </c>
      <c r="P110" s="47">
        <f t="shared" si="7"/>
        <v>2718.6554034958499</v>
      </c>
      <c r="Q110" s="52">
        <f t="shared" si="9"/>
        <v>12500.00000000004</v>
      </c>
      <c r="R110" s="47">
        <f t="shared" si="8"/>
        <v>443352.44860193081</v>
      </c>
    </row>
    <row r="111" spans="13:18" ht="14.4" thickBot="1" x14ac:dyDescent="0.3">
      <c r="M111" s="50">
        <v>69</v>
      </c>
      <c r="N111" s="47">
        <f t="shared" si="5"/>
        <v>443352.44860193081</v>
      </c>
      <c r="O111" s="47">
        <f t="shared" si="6"/>
        <v>9840.0294832636646</v>
      </c>
      <c r="P111" s="47">
        <f t="shared" si="7"/>
        <v>2659.9705167363759</v>
      </c>
      <c r="Q111" s="52">
        <f t="shared" si="9"/>
        <v>12500.00000000004</v>
      </c>
      <c r="R111" s="47">
        <f t="shared" si="8"/>
        <v>433512.41911866714</v>
      </c>
    </row>
    <row r="112" spans="13:18" ht="14.4" thickBot="1" x14ac:dyDescent="0.3">
      <c r="M112" s="50">
        <v>70</v>
      </c>
      <c r="N112" s="47">
        <f t="shared" si="5"/>
        <v>433512.41911866714</v>
      </c>
      <c r="O112" s="47">
        <f t="shared" si="6"/>
        <v>9899.0664602598117</v>
      </c>
      <c r="P112" s="47">
        <f t="shared" si="7"/>
        <v>2600.9335397402278</v>
      </c>
      <c r="Q112" s="52">
        <f t="shared" si="9"/>
        <v>12500.00000000004</v>
      </c>
      <c r="R112" s="47">
        <f t="shared" si="8"/>
        <v>423613.3526584073</v>
      </c>
    </row>
    <row r="113" spans="13:18" ht="14.4" thickBot="1" x14ac:dyDescent="0.3">
      <c r="M113" s="50">
        <v>71</v>
      </c>
      <c r="N113" s="47">
        <f t="shared" si="5"/>
        <v>423613.3526584073</v>
      </c>
      <c r="O113" s="47">
        <f t="shared" si="6"/>
        <v>9958.4576399195576</v>
      </c>
      <c r="P113" s="47">
        <f t="shared" si="7"/>
        <v>2541.5423600804829</v>
      </c>
      <c r="Q113" s="52">
        <f t="shared" si="9"/>
        <v>12500.00000000004</v>
      </c>
      <c r="R113" s="47">
        <f t="shared" si="8"/>
        <v>413654.89501848776</v>
      </c>
    </row>
    <row r="114" spans="13:18" ht="14.4" thickBot="1" x14ac:dyDescent="0.3">
      <c r="M114" s="50">
        <v>72</v>
      </c>
      <c r="N114" s="47">
        <f t="shared" si="5"/>
        <v>413654.89501848776</v>
      </c>
      <c r="O114" s="47">
        <f t="shared" si="6"/>
        <v>10018.205147343695</v>
      </c>
      <c r="P114" s="47">
        <f t="shared" si="7"/>
        <v>2481.7948526563441</v>
      </c>
      <c r="Q114" s="52">
        <f t="shared" si="9"/>
        <v>12500.00000000004</v>
      </c>
      <c r="R114" s="47">
        <f t="shared" si="8"/>
        <v>403636.68987114407</v>
      </c>
    </row>
    <row r="115" spans="13:18" ht="14.4" thickBot="1" x14ac:dyDescent="0.3">
      <c r="M115" s="50">
        <v>73</v>
      </c>
      <c r="N115" s="47">
        <f t="shared" si="5"/>
        <v>403636.68987114407</v>
      </c>
      <c r="O115" s="47">
        <f t="shared" si="6"/>
        <v>10078.311120382941</v>
      </c>
      <c r="P115" s="47">
        <f t="shared" si="7"/>
        <v>2421.6888796170992</v>
      </c>
      <c r="Q115" s="52">
        <f t="shared" si="9"/>
        <v>12500.00000000004</v>
      </c>
      <c r="R115" s="47">
        <f t="shared" si="8"/>
        <v>393558.37875076116</v>
      </c>
    </row>
    <row r="116" spans="13:18" ht="14.4" thickBot="1" x14ac:dyDescent="0.3">
      <c r="M116" s="50">
        <v>74</v>
      </c>
      <c r="N116" s="47">
        <f t="shared" si="5"/>
        <v>393558.37875076116</v>
      </c>
      <c r="O116" s="47">
        <f t="shared" si="6"/>
        <v>10138.777709714412</v>
      </c>
      <c r="P116" s="47">
        <f t="shared" si="7"/>
        <v>2361.2222902856283</v>
      </c>
      <c r="Q116" s="52">
        <f t="shared" si="9"/>
        <v>12500.00000000004</v>
      </c>
      <c r="R116" s="47">
        <f t="shared" si="8"/>
        <v>383419.60104104673</v>
      </c>
    </row>
    <row r="117" spans="13:18" ht="14.4" thickBot="1" x14ac:dyDescent="0.3">
      <c r="M117" s="50">
        <v>75</v>
      </c>
      <c r="N117" s="47">
        <f t="shared" si="5"/>
        <v>383419.60104104673</v>
      </c>
      <c r="O117" s="47">
        <f t="shared" si="6"/>
        <v>10199.607078918592</v>
      </c>
      <c r="P117" s="47">
        <f t="shared" si="7"/>
        <v>2300.3929210814481</v>
      </c>
      <c r="Q117" s="52">
        <f t="shared" si="9"/>
        <v>12500.00000000004</v>
      </c>
      <c r="R117" s="47">
        <f t="shared" si="8"/>
        <v>373219.99396212812</v>
      </c>
    </row>
    <row r="118" spans="13:18" ht="14.4" thickBot="1" x14ac:dyDescent="0.3">
      <c r="M118" s="50">
        <v>76</v>
      </c>
      <c r="N118" s="47">
        <f t="shared" si="5"/>
        <v>373219.99396212812</v>
      </c>
      <c r="O118" s="47">
        <f t="shared" si="6"/>
        <v>10260.801404556745</v>
      </c>
      <c r="P118" s="47">
        <f t="shared" si="7"/>
        <v>2239.1985954432948</v>
      </c>
      <c r="Q118" s="52">
        <f t="shared" si="9"/>
        <v>12500.00000000004</v>
      </c>
      <c r="R118" s="47">
        <f t="shared" si="8"/>
        <v>362959.1925575714</v>
      </c>
    </row>
    <row r="119" spans="13:18" ht="14.4" thickBot="1" x14ac:dyDescent="0.3">
      <c r="M119" s="50">
        <v>77</v>
      </c>
      <c r="N119" s="47">
        <f t="shared" si="5"/>
        <v>362959.1925575714</v>
      </c>
      <c r="O119" s="47">
        <f t="shared" si="6"/>
        <v>10322.362876248793</v>
      </c>
      <c r="P119" s="47">
        <f t="shared" si="7"/>
        <v>2177.6371237512462</v>
      </c>
      <c r="Q119" s="52">
        <f t="shared" si="9"/>
        <v>12500.00000000004</v>
      </c>
      <c r="R119" s="47">
        <f t="shared" si="8"/>
        <v>352636.82968132262</v>
      </c>
    </row>
    <row r="120" spans="13:18" ht="14.4" thickBot="1" x14ac:dyDescent="0.3">
      <c r="M120" s="50">
        <v>78</v>
      </c>
      <c r="N120" s="47">
        <f t="shared" si="5"/>
        <v>352636.82968132262</v>
      </c>
      <c r="O120" s="47">
        <f t="shared" si="6"/>
        <v>10384.293696751667</v>
      </c>
      <c r="P120" s="47">
        <f t="shared" si="7"/>
        <v>2115.7063032483725</v>
      </c>
      <c r="Q120" s="52">
        <f t="shared" si="9"/>
        <v>12500.00000000004</v>
      </c>
      <c r="R120" s="47">
        <f t="shared" si="8"/>
        <v>342252.53598457098</v>
      </c>
    </row>
    <row r="121" spans="13:18" ht="14.4" thickBot="1" x14ac:dyDescent="0.3">
      <c r="M121" s="50">
        <v>79</v>
      </c>
      <c r="N121" s="47">
        <f t="shared" si="5"/>
        <v>342252.53598457098</v>
      </c>
      <c r="O121" s="47">
        <f t="shared" si="6"/>
        <v>10446.596082038122</v>
      </c>
      <c r="P121" s="47">
        <f t="shared" si="7"/>
        <v>2053.4039179619172</v>
      </c>
      <c r="Q121" s="52">
        <f t="shared" si="9"/>
        <v>12500.00000000004</v>
      </c>
      <c r="R121" s="47">
        <f t="shared" si="8"/>
        <v>331805.93990253285</v>
      </c>
    </row>
    <row r="122" spans="13:18" ht="14.4" thickBot="1" x14ac:dyDescent="0.3">
      <c r="M122" s="50">
        <v>80</v>
      </c>
      <c r="N122" s="47">
        <f t="shared" si="5"/>
        <v>331805.93990253285</v>
      </c>
      <c r="O122" s="47">
        <f t="shared" si="6"/>
        <v>10509.272261376031</v>
      </c>
      <c r="P122" s="47">
        <f t="shared" si="7"/>
        <v>1990.7277386240096</v>
      </c>
      <c r="Q122" s="52">
        <f t="shared" si="9"/>
        <v>12500.00000000004</v>
      </c>
      <c r="R122" s="47">
        <f t="shared" si="8"/>
        <v>321296.66764115682</v>
      </c>
    </row>
    <row r="123" spans="13:18" ht="14.4" thickBot="1" x14ac:dyDescent="0.3">
      <c r="M123" s="50">
        <v>81</v>
      </c>
      <c r="N123" s="47">
        <f t="shared" si="5"/>
        <v>321296.66764115682</v>
      </c>
      <c r="O123" s="47">
        <f t="shared" si="6"/>
        <v>10572.324477408145</v>
      </c>
      <c r="P123" s="47">
        <f t="shared" si="7"/>
        <v>1927.6755225918955</v>
      </c>
      <c r="Q123" s="52">
        <f t="shared" si="9"/>
        <v>12500.00000000004</v>
      </c>
      <c r="R123" s="47">
        <f t="shared" si="8"/>
        <v>310724.34316374868</v>
      </c>
    </row>
    <row r="124" spans="13:18" ht="14.4" thickBot="1" x14ac:dyDescent="0.3">
      <c r="M124" s="50">
        <v>82</v>
      </c>
      <c r="N124" s="47">
        <f t="shared" si="5"/>
        <v>310724.34316374868</v>
      </c>
      <c r="O124" s="47">
        <f t="shared" si="6"/>
        <v>10635.754986232345</v>
      </c>
      <c r="P124" s="47">
        <f t="shared" si="7"/>
        <v>1864.2450137676944</v>
      </c>
      <c r="Q124" s="52">
        <f t="shared" si="9"/>
        <v>12500.00000000004</v>
      </c>
      <c r="R124" s="47">
        <f t="shared" si="8"/>
        <v>300088.58817751636</v>
      </c>
    </row>
    <row r="125" spans="13:18" ht="14.4" thickBot="1" x14ac:dyDescent="0.3">
      <c r="M125" s="50">
        <v>83</v>
      </c>
      <c r="N125" s="47">
        <f t="shared" si="5"/>
        <v>300088.58817751636</v>
      </c>
      <c r="O125" s="47">
        <f t="shared" si="6"/>
        <v>10699.566057482369</v>
      </c>
      <c r="P125" s="47">
        <f t="shared" si="7"/>
        <v>1800.4339425176715</v>
      </c>
      <c r="Q125" s="52">
        <f t="shared" si="9"/>
        <v>12500.00000000004</v>
      </c>
      <c r="R125" s="47">
        <f t="shared" si="8"/>
        <v>289389.02212003397</v>
      </c>
    </row>
    <row r="126" spans="13:18" ht="14.4" thickBot="1" x14ac:dyDescent="0.3">
      <c r="M126" s="50">
        <v>84</v>
      </c>
      <c r="N126" s="47">
        <f t="shared" si="5"/>
        <v>289389.02212003397</v>
      </c>
      <c r="O126" s="47">
        <f t="shared" si="6"/>
        <v>10763.759974409011</v>
      </c>
      <c r="P126" s="47">
        <f t="shared" si="7"/>
        <v>1736.2400255910279</v>
      </c>
      <c r="Q126" s="52">
        <f t="shared" si="9"/>
        <v>12500.00000000004</v>
      </c>
      <c r="R126" s="47">
        <f t="shared" si="8"/>
        <v>278625.26214562496</v>
      </c>
    </row>
    <row r="127" spans="13:18" ht="14.4" thickBot="1" x14ac:dyDescent="0.3">
      <c r="M127" s="50">
        <v>85</v>
      </c>
      <c r="N127" s="47">
        <f t="shared" si="5"/>
        <v>278625.26214562496</v>
      </c>
      <c r="O127" s="47">
        <f t="shared" si="6"/>
        <v>10828.339033961838</v>
      </c>
      <c r="P127" s="47">
        <f t="shared" si="7"/>
        <v>1671.6609660382026</v>
      </c>
      <c r="Q127" s="52">
        <f t="shared" si="9"/>
        <v>12500.00000000004</v>
      </c>
      <c r="R127" s="47">
        <f t="shared" si="8"/>
        <v>267796.92311166314</v>
      </c>
    </row>
    <row r="128" spans="13:18" ht="14.4" thickBot="1" x14ac:dyDescent="0.3">
      <c r="M128" s="50">
        <v>86</v>
      </c>
      <c r="N128" s="47">
        <f t="shared" si="5"/>
        <v>267796.92311166314</v>
      </c>
      <c r="O128" s="47">
        <f t="shared" si="6"/>
        <v>10893.305546871356</v>
      </c>
      <c r="P128" s="47">
        <f t="shared" si="7"/>
        <v>1606.6944531286838</v>
      </c>
      <c r="Q128" s="52">
        <f t="shared" si="9"/>
        <v>12500.00000000004</v>
      </c>
      <c r="R128" s="47">
        <f t="shared" si="8"/>
        <v>256903.61756479178</v>
      </c>
    </row>
    <row r="129" spans="13:18" ht="14.4" thickBot="1" x14ac:dyDescent="0.3">
      <c r="M129" s="50">
        <v>87</v>
      </c>
      <c r="N129" s="47">
        <f t="shared" si="5"/>
        <v>256903.61756479178</v>
      </c>
      <c r="O129" s="47">
        <f t="shared" si="6"/>
        <v>10958.661837731712</v>
      </c>
      <c r="P129" s="47">
        <f t="shared" si="7"/>
        <v>1541.3381622683282</v>
      </c>
      <c r="Q129" s="52">
        <f t="shared" si="9"/>
        <v>12500.00000000004</v>
      </c>
      <c r="R129" s="47">
        <f t="shared" si="8"/>
        <v>245944.95572706006</v>
      </c>
    </row>
    <row r="130" spans="13:18" ht="14.4" thickBot="1" x14ac:dyDescent="0.3">
      <c r="M130" s="50">
        <v>88</v>
      </c>
      <c r="N130" s="47">
        <f t="shared" si="5"/>
        <v>245944.95572706006</v>
      </c>
      <c r="O130" s="47">
        <f t="shared" si="6"/>
        <v>11024.410245083856</v>
      </c>
      <c r="P130" s="47">
        <f t="shared" si="7"/>
        <v>1475.5897549161837</v>
      </c>
      <c r="Q130" s="52">
        <f t="shared" si="9"/>
        <v>12500.00000000004</v>
      </c>
      <c r="R130" s="47">
        <f t="shared" si="8"/>
        <v>234920.54548197621</v>
      </c>
    </row>
    <row r="131" spans="13:18" ht="14.4" thickBot="1" x14ac:dyDescent="0.3">
      <c r="M131" s="50">
        <v>89</v>
      </c>
      <c r="N131" s="47">
        <f t="shared" si="5"/>
        <v>234920.54548197621</v>
      </c>
      <c r="O131" s="47">
        <f t="shared" si="6"/>
        <v>11090.553121499226</v>
      </c>
      <c r="P131" s="47">
        <f t="shared" si="7"/>
        <v>1409.446878500813</v>
      </c>
      <c r="Q131" s="52">
        <f t="shared" si="9"/>
        <v>12500.00000000004</v>
      </c>
      <c r="R131" s="47">
        <f t="shared" si="8"/>
        <v>223829.99236047699</v>
      </c>
    </row>
    <row r="132" spans="13:18" ht="14.4" thickBot="1" x14ac:dyDescent="0.3">
      <c r="M132" s="50">
        <v>90</v>
      </c>
      <c r="N132" s="47">
        <f t="shared" si="5"/>
        <v>223829.99236047699</v>
      </c>
      <c r="O132" s="47">
        <f t="shared" si="6"/>
        <v>11157.092833663924</v>
      </c>
      <c r="P132" s="47">
        <f t="shared" si="7"/>
        <v>1342.9071663361151</v>
      </c>
      <c r="Q132" s="52">
        <f t="shared" si="9"/>
        <v>12500.00000000004</v>
      </c>
      <c r="R132" s="47">
        <f t="shared" si="8"/>
        <v>212672.89952681307</v>
      </c>
    </row>
    <row r="133" spans="13:18" ht="14.4" thickBot="1" x14ac:dyDescent="0.3">
      <c r="M133" s="50">
        <v>91</v>
      </c>
      <c r="N133" s="47">
        <f t="shared" si="5"/>
        <v>212672.89952681307</v>
      </c>
      <c r="O133" s="47">
        <f t="shared" si="6"/>
        <v>11224.031762463397</v>
      </c>
      <c r="P133" s="47">
        <f t="shared" si="7"/>
        <v>1275.9682375366419</v>
      </c>
      <c r="Q133" s="52">
        <f t="shared" si="9"/>
        <v>12500.00000000004</v>
      </c>
      <c r="R133" s="47">
        <f t="shared" si="8"/>
        <v>201448.86776434968</v>
      </c>
    </row>
    <row r="134" spans="13:18" ht="14.4" thickBot="1" x14ac:dyDescent="0.3">
      <c r="M134" s="50">
        <v>92</v>
      </c>
      <c r="N134" s="47">
        <f t="shared" si="5"/>
        <v>201448.86776434968</v>
      </c>
      <c r="O134" s="47">
        <f t="shared" si="6"/>
        <v>11291.372303067634</v>
      </c>
      <c r="P134" s="47">
        <f t="shared" si="7"/>
        <v>1208.6276969324072</v>
      </c>
      <c r="Q134" s="52">
        <f t="shared" si="9"/>
        <v>12500.00000000004</v>
      </c>
      <c r="R134" s="47">
        <f t="shared" si="8"/>
        <v>190157.49546128203</v>
      </c>
    </row>
    <row r="135" spans="13:18" ht="14.4" thickBot="1" x14ac:dyDescent="0.3">
      <c r="M135" s="50">
        <v>93</v>
      </c>
      <c r="N135" s="47">
        <f t="shared" si="5"/>
        <v>190157.49546128203</v>
      </c>
      <c r="O135" s="47">
        <f t="shared" si="6"/>
        <v>11359.116865016857</v>
      </c>
      <c r="P135" s="47">
        <f t="shared" si="7"/>
        <v>1140.8831349831833</v>
      </c>
      <c r="Q135" s="52">
        <f t="shared" si="9"/>
        <v>12500.00000000004</v>
      </c>
      <c r="R135" s="47">
        <f t="shared" si="8"/>
        <v>178798.37859626516</v>
      </c>
    </row>
    <row r="136" spans="13:18" ht="14.4" thickBot="1" x14ac:dyDescent="0.3">
      <c r="M136" s="50">
        <v>94</v>
      </c>
      <c r="N136" s="47">
        <f t="shared" si="5"/>
        <v>178798.37859626516</v>
      </c>
      <c r="O136" s="47">
        <f t="shared" si="6"/>
        <v>11427.267872307755</v>
      </c>
      <c r="P136" s="47">
        <f t="shared" si="7"/>
        <v>1072.7321276922848</v>
      </c>
      <c r="Q136" s="52">
        <f t="shared" si="9"/>
        <v>12500.00000000004</v>
      </c>
      <c r="R136" s="47">
        <f t="shared" si="8"/>
        <v>167371.11072395742</v>
      </c>
    </row>
    <row r="137" spans="13:18" ht="14.4" thickBot="1" x14ac:dyDescent="0.3">
      <c r="M137" s="50">
        <v>95</v>
      </c>
      <c r="N137" s="47">
        <f t="shared" ref="N137:N149" si="10">R136</f>
        <v>167371.11072395742</v>
      </c>
      <c r="O137" s="47">
        <f t="shared" ref="O137:O149" si="11">Q137-P137</f>
        <v>11495.827763480205</v>
      </c>
      <c r="P137" s="47">
        <f t="shared" ref="P137:P149" si="12">$N$40*N137</f>
        <v>1004.1722365198353</v>
      </c>
      <c r="Q137" s="52">
        <f t="shared" si="9"/>
        <v>12500.00000000004</v>
      </c>
      <c r="R137" s="47">
        <f t="shared" ref="R137:R149" si="13">N137-O137</f>
        <v>155875.28296047723</v>
      </c>
    </row>
    <row r="138" spans="13:18" ht="14.4" thickBot="1" x14ac:dyDescent="0.3">
      <c r="M138" s="50">
        <v>96</v>
      </c>
      <c r="N138" s="47">
        <f t="shared" si="10"/>
        <v>155875.28296047723</v>
      </c>
      <c r="O138" s="47">
        <f t="shared" si="11"/>
        <v>11564.798991704529</v>
      </c>
      <c r="P138" s="47">
        <f t="shared" si="12"/>
        <v>935.20100829551097</v>
      </c>
      <c r="Q138" s="52">
        <f t="shared" si="9"/>
        <v>12500.00000000004</v>
      </c>
      <c r="R138" s="47">
        <f t="shared" si="13"/>
        <v>144310.48396877269</v>
      </c>
    </row>
    <row r="139" spans="13:18" ht="14.4" thickBot="1" x14ac:dyDescent="0.3">
      <c r="M139" s="50">
        <v>97</v>
      </c>
      <c r="N139" s="47">
        <f t="shared" si="10"/>
        <v>144310.48396877269</v>
      </c>
      <c r="O139" s="47">
        <f t="shared" si="11"/>
        <v>11634.184024869275</v>
      </c>
      <c r="P139" s="47">
        <f t="shared" si="12"/>
        <v>865.81597513076429</v>
      </c>
      <c r="Q139" s="52">
        <f t="shared" si="9"/>
        <v>12500.00000000004</v>
      </c>
      <c r="R139" s="47">
        <f t="shared" si="13"/>
        <v>132676.2999439034</v>
      </c>
    </row>
    <row r="140" spans="13:18" ht="14.4" thickBot="1" x14ac:dyDescent="0.3">
      <c r="M140" s="50">
        <v>98</v>
      </c>
      <c r="N140" s="47">
        <f t="shared" si="10"/>
        <v>132676.2999439034</v>
      </c>
      <c r="O140" s="47">
        <f t="shared" si="11"/>
        <v>11703.985345669522</v>
      </c>
      <c r="P140" s="47">
        <f t="shared" si="12"/>
        <v>796.01465433051897</v>
      </c>
      <c r="Q140" s="52">
        <f t="shared" si="9"/>
        <v>12500.00000000004</v>
      </c>
      <c r="R140" s="47">
        <f t="shared" si="13"/>
        <v>120972.31459823388</v>
      </c>
    </row>
    <row r="141" spans="13:18" ht="14.4" thickBot="1" x14ac:dyDescent="0.3">
      <c r="M141" s="50">
        <v>99</v>
      </c>
      <c r="N141" s="47">
        <f t="shared" si="10"/>
        <v>120972.31459823388</v>
      </c>
      <c r="O141" s="47">
        <f t="shared" si="11"/>
        <v>11774.205451695705</v>
      </c>
      <c r="P141" s="47">
        <f t="shared" si="12"/>
        <v>725.79454830433565</v>
      </c>
      <c r="Q141" s="52">
        <f t="shared" si="9"/>
        <v>12500.00000000004</v>
      </c>
      <c r="R141" s="47">
        <f t="shared" si="13"/>
        <v>109198.10914653818</v>
      </c>
    </row>
    <row r="142" spans="13:18" ht="14.4" thickBot="1" x14ac:dyDescent="0.3">
      <c r="M142" s="50">
        <v>100</v>
      </c>
      <c r="N142" s="47">
        <f t="shared" si="10"/>
        <v>109198.10914653818</v>
      </c>
      <c r="O142" s="47">
        <f t="shared" si="11"/>
        <v>11844.846855522996</v>
      </c>
      <c r="P142" s="47">
        <f t="shared" si="12"/>
        <v>655.15314447704475</v>
      </c>
      <c r="Q142" s="52">
        <f t="shared" si="9"/>
        <v>12500.00000000004</v>
      </c>
      <c r="R142" s="47">
        <f t="shared" si="13"/>
        <v>97353.262291015184</v>
      </c>
    </row>
    <row r="143" spans="13:18" ht="14.4" thickBot="1" x14ac:dyDescent="0.3">
      <c r="M143" s="50">
        <v>101</v>
      </c>
      <c r="N143" s="47">
        <f t="shared" si="10"/>
        <v>97353.262291015184</v>
      </c>
      <c r="O143" s="47">
        <f t="shared" si="11"/>
        <v>11915.912084801197</v>
      </c>
      <c r="P143" s="47">
        <f t="shared" si="12"/>
        <v>584.08791519884221</v>
      </c>
      <c r="Q143" s="52">
        <f t="shared" si="9"/>
        <v>12500.00000000004</v>
      </c>
      <c r="R143" s="47">
        <f t="shared" si="13"/>
        <v>85437.350206213989</v>
      </c>
    </row>
    <row r="144" spans="13:18" ht="14.4" thickBot="1" x14ac:dyDescent="0.3">
      <c r="M144" s="50">
        <v>102</v>
      </c>
      <c r="N144" s="47">
        <f t="shared" si="10"/>
        <v>85437.350206213989</v>
      </c>
      <c r="O144" s="47">
        <f t="shared" si="11"/>
        <v>11987.403682345193</v>
      </c>
      <c r="P144" s="47">
        <f t="shared" si="12"/>
        <v>512.59631765484744</v>
      </c>
      <c r="Q144" s="52">
        <f t="shared" si="9"/>
        <v>12500.00000000004</v>
      </c>
      <c r="R144" s="47">
        <f t="shared" si="13"/>
        <v>73449.946523868799</v>
      </c>
    </row>
    <row r="145" spans="13:18" ht="14.4" thickBot="1" x14ac:dyDescent="0.3">
      <c r="M145" s="50">
        <v>103</v>
      </c>
      <c r="N145" s="47">
        <f t="shared" si="10"/>
        <v>73449.946523868799</v>
      </c>
      <c r="O145" s="47">
        <f t="shared" si="11"/>
        <v>12059.324206225923</v>
      </c>
      <c r="P145" s="47">
        <f t="shared" si="12"/>
        <v>440.67579377411744</v>
      </c>
      <c r="Q145" s="52">
        <f t="shared" si="9"/>
        <v>12500.00000000004</v>
      </c>
      <c r="R145" s="47">
        <f t="shared" si="13"/>
        <v>61390.622317642876</v>
      </c>
    </row>
    <row r="146" spans="13:18" ht="14.4" thickBot="1" x14ac:dyDescent="0.3">
      <c r="M146" s="50">
        <v>104</v>
      </c>
      <c r="N146" s="47">
        <f t="shared" si="10"/>
        <v>61390.622317642876</v>
      </c>
      <c r="O146" s="47">
        <f t="shared" si="11"/>
        <v>12131.676229861925</v>
      </c>
      <c r="P146" s="47">
        <f t="shared" si="12"/>
        <v>368.32377013811544</v>
      </c>
      <c r="Q146" s="52">
        <f t="shared" si="9"/>
        <v>12500.00000000004</v>
      </c>
      <c r="R146" s="47">
        <f t="shared" si="13"/>
        <v>49258.946087780947</v>
      </c>
    </row>
    <row r="147" spans="13:18" ht="14.4" thickBot="1" x14ac:dyDescent="0.3">
      <c r="M147" s="50">
        <v>105</v>
      </c>
      <c r="N147" s="47">
        <f t="shared" si="10"/>
        <v>49258.946087780947</v>
      </c>
      <c r="O147" s="47">
        <f t="shared" si="11"/>
        <v>12204.46234211141</v>
      </c>
      <c r="P147" s="47">
        <f t="shared" si="12"/>
        <v>295.53765788863029</v>
      </c>
      <c r="Q147" s="52">
        <f t="shared" si="9"/>
        <v>12500.00000000004</v>
      </c>
      <c r="R147" s="47">
        <f t="shared" si="13"/>
        <v>37054.483745669539</v>
      </c>
    </row>
    <row r="148" spans="13:18" ht="14.4" thickBot="1" x14ac:dyDescent="0.3">
      <c r="M148" s="50">
        <v>106</v>
      </c>
      <c r="N148" s="47">
        <f t="shared" si="10"/>
        <v>37054.483745669539</v>
      </c>
      <c r="O148" s="47">
        <f t="shared" si="11"/>
        <v>12277.685147364897</v>
      </c>
      <c r="P148" s="47">
        <f t="shared" si="12"/>
        <v>222.31485263514341</v>
      </c>
      <c r="Q148" s="52">
        <f t="shared" si="9"/>
        <v>12500.00000000004</v>
      </c>
      <c r="R148" s="47">
        <f t="shared" si="13"/>
        <v>24776.798598304642</v>
      </c>
    </row>
    <row r="149" spans="13:18" ht="14.4" thickBot="1" x14ac:dyDescent="0.3">
      <c r="M149" s="50">
        <v>107</v>
      </c>
      <c r="N149" s="47">
        <f t="shared" si="10"/>
        <v>24776.798598304642</v>
      </c>
      <c r="O149" s="47">
        <f t="shared" si="11"/>
        <v>12351.3472656384</v>
      </c>
      <c r="P149" s="47">
        <f t="shared" si="12"/>
        <v>148.65273436164009</v>
      </c>
      <c r="Q149" s="52">
        <f t="shared" si="9"/>
        <v>12500.00000000004</v>
      </c>
      <c r="R149" s="47">
        <f t="shared" si="13"/>
        <v>12425.451332666242</v>
      </c>
    </row>
    <row r="150" spans="13:18" ht="14.4" thickBot="1" x14ac:dyDescent="0.3">
      <c r="M150" s="50">
        <v>108</v>
      </c>
      <c r="N150" s="47">
        <f t="shared" ref="N150" si="14">R149</f>
        <v>12425.451332666242</v>
      </c>
      <c r="O150" s="47">
        <f t="shared" ref="O150" si="15">Q150-P150</f>
        <v>12425.451332667179</v>
      </c>
      <c r="P150" s="47">
        <f t="shared" ref="P150" si="16">$N$40*N150</f>
        <v>74.548667332861484</v>
      </c>
      <c r="Q150" s="52">
        <f t="shared" si="9"/>
        <v>12500.00000000004</v>
      </c>
      <c r="R150" s="48">
        <f t="shared" ref="R150" si="17">N150-O150</f>
        <v>-9.3677954282611609E-10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פתרון שאלות אמריקאיות 1-15 </vt:lpstr>
      <vt:lpstr>פתרון שאלה פתוחה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אופיר מאגדי</cp:lastModifiedBy>
  <dcterms:created xsi:type="dcterms:W3CDTF">2019-06-18T11:36:23Z</dcterms:created>
  <dcterms:modified xsi:type="dcterms:W3CDTF">2019-12-16T05:02:25Z</dcterms:modified>
</cp:coreProperties>
</file>