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ופיר מאגדי\Desktop\מכללה למנהל GOOL\הקלטות\שחזור מבחן 2019ב מבחן מספר 151219 אקסל\"/>
    </mc:Choice>
  </mc:AlternateContent>
  <xr:revisionPtr revIDLastSave="0" documentId="13_ncr:1_{B797E750-84D1-4D1C-A893-52C03346A754}" xr6:coauthVersionLast="45" xr6:coauthVersionMax="45" xr10:uidLastSave="{00000000-0000-0000-0000-000000000000}"/>
  <bookViews>
    <workbookView xWindow="-108" yWindow="-108" windowWidth="23256" windowHeight="12576" xr2:uid="{BF75389F-2E94-44D0-85A7-D9F27596721D}"/>
  </bookViews>
  <sheets>
    <sheet name="פתרון שאלות אמריקאיות 1-15" sheetId="2" r:id="rId1"/>
    <sheet name="פתרון שאלה פתוחה" sheetId="3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3" l="1"/>
  <c r="E47" i="3"/>
  <c r="E48" i="3"/>
  <c r="H50" i="3"/>
  <c r="G50" i="3"/>
  <c r="F50" i="3"/>
  <c r="I50" i="3"/>
  <c r="E51" i="3"/>
  <c r="H51" i="3"/>
  <c r="G51" i="3"/>
  <c r="F51" i="3"/>
  <c r="I51" i="3"/>
  <c r="E52" i="3"/>
  <c r="H52" i="3"/>
  <c r="G52" i="3"/>
  <c r="F52" i="3"/>
  <c r="I52" i="3"/>
  <c r="I43" i="3"/>
  <c r="E53" i="3"/>
  <c r="G53" i="3"/>
  <c r="H53" i="3"/>
  <c r="F53" i="3"/>
  <c r="I53" i="3"/>
  <c r="E54" i="3"/>
  <c r="G54" i="3"/>
  <c r="H54" i="3"/>
  <c r="F54" i="3"/>
  <c r="I54" i="3"/>
  <c r="E55" i="3"/>
  <c r="G55" i="3"/>
  <c r="H55" i="3"/>
  <c r="F55" i="3"/>
  <c r="I55" i="3"/>
  <c r="E56" i="3"/>
  <c r="G56" i="3"/>
  <c r="H56" i="3"/>
  <c r="F56" i="3"/>
  <c r="I56" i="3"/>
  <c r="E57" i="3"/>
  <c r="G57" i="3"/>
  <c r="H57" i="3"/>
  <c r="F57" i="3"/>
  <c r="I57" i="3"/>
  <c r="E58" i="3"/>
  <c r="G58" i="3"/>
  <c r="H58" i="3"/>
  <c r="F58" i="3"/>
  <c r="I58" i="3"/>
  <c r="E59" i="3"/>
  <c r="G59" i="3"/>
  <c r="H59" i="3"/>
  <c r="F59" i="3"/>
  <c r="I59" i="3"/>
  <c r="E60" i="3"/>
  <c r="G60" i="3"/>
  <c r="H60" i="3"/>
  <c r="F60" i="3"/>
  <c r="I60" i="3"/>
  <c r="E61" i="3"/>
  <c r="G61" i="3"/>
  <c r="H61" i="3"/>
  <c r="F61" i="3"/>
  <c r="I61" i="3"/>
  <c r="O29" i="3"/>
  <c r="O28" i="3"/>
  <c r="J523" i="2"/>
  <c r="N522" i="2"/>
  <c r="K522" i="2"/>
  <c r="L523" i="2"/>
  <c r="K523" i="2"/>
  <c r="N523" i="2"/>
  <c r="J524" i="2"/>
  <c r="L524" i="2"/>
  <c r="K524" i="2"/>
  <c r="N524" i="2"/>
  <c r="J525" i="2"/>
  <c r="L525" i="2"/>
  <c r="K525" i="2"/>
  <c r="N525" i="2"/>
  <c r="J526" i="2"/>
  <c r="L526" i="2"/>
  <c r="K526" i="2"/>
  <c r="N526" i="2"/>
  <c r="J527" i="2"/>
  <c r="L527" i="2"/>
  <c r="K527" i="2"/>
  <c r="N527" i="2"/>
  <c r="J528" i="2"/>
  <c r="L528" i="2"/>
  <c r="K528" i="2"/>
  <c r="N528" i="2"/>
  <c r="J529" i="2"/>
  <c r="L529" i="2"/>
  <c r="K529" i="2"/>
  <c r="N529" i="2"/>
  <c r="J530" i="2"/>
  <c r="L530" i="2"/>
  <c r="K530" i="2"/>
  <c r="N530" i="2"/>
  <c r="J531" i="2"/>
  <c r="L531" i="2"/>
  <c r="K531" i="2"/>
  <c r="N531" i="2"/>
  <c r="J532" i="2"/>
  <c r="L532" i="2"/>
  <c r="K532" i="2"/>
  <c r="N532" i="2"/>
  <c r="J533" i="2"/>
  <c r="L533" i="2"/>
  <c r="K533" i="2"/>
  <c r="N533" i="2"/>
  <c r="J534" i="2"/>
  <c r="L534" i="2"/>
  <c r="K534" i="2"/>
  <c r="N534" i="2"/>
  <c r="J535" i="2"/>
  <c r="L535" i="2"/>
  <c r="K535" i="2"/>
  <c r="N535" i="2"/>
  <c r="J536" i="2"/>
  <c r="L536" i="2"/>
  <c r="K536" i="2"/>
  <c r="N536" i="2"/>
  <c r="J537" i="2"/>
  <c r="L537" i="2"/>
  <c r="K537" i="2"/>
  <c r="N537" i="2"/>
  <c r="J538" i="2"/>
  <c r="L538" i="2"/>
  <c r="K538" i="2"/>
  <c r="N538" i="2"/>
  <c r="J539" i="2"/>
  <c r="L539" i="2"/>
  <c r="K539" i="2"/>
  <c r="N539" i="2"/>
  <c r="J540" i="2"/>
  <c r="L540" i="2"/>
  <c r="K540" i="2"/>
  <c r="N540" i="2"/>
  <c r="J541" i="2"/>
  <c r="L541" i="2"/>
  <c r="K541" i="2"/>
  <c r="N541" i="2"/>
  <c r="J542" i="2"/>
  <c r="L542" i="2"/>
  <c r="K542" i="2"/>
  <c r="N542" i="2"/>
  <c r="J543" i="2"/>
  <c r="L543" i="2"/>
  <c r="K543" i="2"/>
  <c r="N543" i="2"/>
  <c r="J544" i="2"/>
  <c r="L544" i="2"/>
  <c r="K544" i="2"/>
  <c r="N544" i="2"/>
  <c r="J545" i="2"/>
  <c r="L545" i="2"/>
  <c r="K545" i="2"/>
  <c r="N545" i="2"/>
  <c r="J546" i="2"/>
  <c r="L546" i="2"/>
  <c r="K546" i="2"/>
  <c r="N546" i="2"/>
  <c r="J547" i="2"/>
  <c r="L547" i="2"/>
  <c r="K547" i="2"/>
  <c r="N547" i="2"/>
  <c r="J548" i="2"/>
  <c r="L548" i="2"/>
  <c r="K548" i="2"/>
  <c r="N548" i="2"/>
  <c r="J549" i="2"/>
  <c r="L549" i="2"/>
  <c r="K549" i="2"/>
  <c r="N549" i="2"/>
  <c r="J550" i="2"/>
  <c r="L550" i="2"/>
  <c r="K550" i="2"/>
  <c r="N550" i="2"/>
  <c r="J551" i="2"/>
  <c r="L551" i="2"/>
  <c r="K551" i="2"/>
  <c r="N551" i="2"/>
  <c r="J552" i="2"/>
  <c r="L552" i="2"/>
  <c r="K552" i="2"/>
  <c r="N552" i="2"/>
  <c r="J553" i="2"/>
  <c r="L553" i="2"/>
  <c r="K553" i="2"/>
  <c r="N553" i="2"/>
  <c r="J554" i="2"/>
  <c r="L554" i="2"/>
  <c r="K554" i="2"/>
  <c r="N554" i="2"/>
  <c r="J555" i="2"/>
  <c r="L555" i="2"/>
  <c r="K555" i="2"/>
  <c r="N555" i="2"/>
  <c r="J556" i="2"/>
  <c r="L556" i="2"/>
  <c r="K556" i="2"/>
  <c r="N556" i="2"/>
  <c r="J557" i="2"/>
  <c r="L557" i="2"/>
  <c r="K557" i="2"/>
  <c r="N557" i="2"/>
  <c r="J558" i="2"/>
  <c r="L558" i="2"/>
  <c r="K558" i="2"/>
  <c r="N558" i="2"/>
  <c r="J559" i="2"/>
  <c r="L559" i="2"/>
  <c r="K559" i="2"/>
  <c r="N559" i="2"/>
  <c r="J560" i="2"/>
  <c r="L560" i="2"/>
  <c r="K560" i="2"/>
  <c r="N560" i="2"/>
  <c r="J561" i="2"/>
  <c r="L561" i="2"/>
  <c r="K561" i="2"/>
  <c r="N561" i="2"/>
  <c r="J562" i="2"/>
  <c r="L562" i="2"/>
  <c r="K562" i="2"/>
  <c r="N562" i="2"/>
  <c r="J563" i="2"/>
  <c r="L563" i="2"/>
  <c r="K563" i="2"/>
  <c r="N563" i="2"/>
  <c r="J564" i="2"/>
  <c r="L564" i="2"/>
  <c r="K564" i="2"/>
  <c r="N564" i="2"/>
  <c r="J565" i="2"/>
  <c r="L565" i="2"/>
  <c r="K565" i="2"/>
  <c r="N565" i="2"/>
  <c r="J566" i="2"/>
  <c r="L566" i="2"/>
  <c r="K566" i="2"/>
  <c r="N566" i="2"/>
  <c r="J567" i="2"/>
  <c r="L567" i="2"/>
  <c r="K567" i="2"/>
  <c r="N567" i="2"/>
  <c r="J568" i="2"/>
  <c r="L568" i="2"/>
  <c r="K568" i="2"/>
  <c r="N568" i="2"/>
  <c r="J569" i="2"/>
  <c r="L569" i="2"/>
  <c r="L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22" i="2"/>
  <c r="J520" i="2"/>
  <c r="J519" i="2"/>
  <c r="J522" i="2"/>
  <c r="K569" i="2"/>
  <c r="N569" i="2"/>
  <c r="J518" i="2"/>
  <c r="J480" i="2"/>
  <c r="J443" i="2"/>
  <c r="J441" i="2"/>
  <c r="J438" i="2"/>
  <c r="L415" i="2"/>
  <c r="M412" i="2"/>
  <c r="M411" i="2"/>
  <c r="L412" i="2"/>
  <c r="L416" i="2"/>
  <c r="M413" i="2"/>
  <c r="M414" i="2"/>
  <c r="M415" i="2"/>
  <c r="K406" i="2"/>
  <c r="K404" i="2"/>
  <c r="K402" i="2"/>
  <c r="J369" i="2"/>
  <c r="J368" i="2"/>
  <c r="J367" i="2"/>
  <c r="J365" i="2"/>
  <c r="J362" i="2"/>
  <c r="W390" i="2"/>
  <c r="U386" i="2"/>
  <c r="W328" i="2"/>
  <c r="X328" i="2"/>
  <c r="T329" i="2"/>
  <c r="V329" i="2"/>
  <c r="W329" i="2"/>
  <c r="X329" i="2"/>
  <c r="T330" i="2"/>
  <c r="V330" i="2"/>
  <c r="W330" i="2"/>
  <c r="X330" i="2"/>
  <c r="T331" i="2"/>
  <c r="V331" i="2"/>
  <c r="W331" i="2"/>
  <c r="X331" i="2"/>
  <c r="T332" i="2"/>
  <c r="V332" i="2"/>
  <c r="W332" i="2"/>
  <c r="X332" i="2"/>
  <c r="T333" i="2"/>
  <c r="V333" i="2"/>
  <c r="W333" i="2"/>
  <c r="X333" i="2"/>
  <c r="T334" i="2"/>
  <c r="V334" i="2"/>
  <c r="W334" i="2"/>
  <c r="X334" i="2"/>
  <c r="T335" i="2"/>
  <c r="V335" i="2"/>
  <c r="W335" i="2"/>
  <c r="X335" i="2"/>
  <c r="T336" i="2"/>
  <c r="V336" i="2"/>
  <c r="W336" i="2"/>
  <c r="X336" i="2"/>
  <c r="T337" i="2"/>
  <c r="V337" i="2"/>
  <c r="W337" i="2"/>
  <c r="X337" i="2"/>
  <c r="T338" i="2"/>
  <c r="V338" i="2"/>
  <c r="W338" i="2"/>
  <c r="X338" i="2"/>
  <c r="T339" i="2"/>
  <c r="V339" i="2"/>
  <c r="W339" i="2"/>
  <c r="X339" i="2"/>
  <c r="T340" i="2"/>
  <c r="V340" i="2"/>
  <c r="W340" i="2"/>
  <c r="X340" i="2"/>
  <c r="T341" i="2"/>
  <c r="V341" i="2"/>
  <c r="W341" i="2"/>
  <c r="X341" i="2"/>
  <c r="T342" i="2"/>
  <c r="V342" i="2"/>
  <c r="W342" i="2"/>
  <c r="X342" i="2"/>
  <c r="T343" i="2"/>
  <c r="V343" i="2"/>
  <c r="W343" i="2"/>
  <c r="X343" i="2"/>
  <c r="T344" i="2"/>
  <c r="V344" i="2"/>
  <c r="W344" i="2"/>
  <c r="X344" i="2"/>
  <c r="T345" i="2"/>
  <c r="V345" i="2"/>
  <c r="W345" i="2"/>
  <c r="X345" i="2"/>
  <c r="T346" i="2"/>
  <c r="V346" i="2"/>
  <c r="W346" i="2"/>
  <c r="X346" i="2"/>
  <c r="T347" i="2"/>
  <c r="V347" i="2"/>
  <c r="W347" i="2"/>
  <c r="X347" i="2"/>
  <c r="T348" i="2"/>
  <c r="V348" i="2"/>
  <c r="W348" i="2"/>
  <c r="X348" i="2"/>
  <c r="T349" i="2"/>
  <c r="V349" i="2"/>
  <c r="W349" i="2"/>
  <c r="X349" i="2"/>
  <c r="T350" i="2"/>
  <c r="V350" i="2"/>
  <c r="W350" i="2"/>
  <c r="X350" i="2"/>
  <c r="T351" i="2"/>
  <c r="V351" i="2"/>
  <c r="W351" i="2"/>
  <c r="X351" i="2"/>
  <c r="T352" i="2"/>
  <c r="V352" i="2"/>
  <c r="W352" i="2"/>
  <c r="X352" i="2"/>
  <c r="T353" i="2"/>
  <c r="V353" i="2"/>
  <c r="W353" i="2"/>
  <c r="X353" i="2"/>
  <c r="T354" i="2"/>
  <c r="V354" i="2"/>
  <c r="W354" i="2"/>
  <c r="X354" i="2"/>
  <c r="T355" i="2"/>
  <c r="V355" i="2"/>
  <c r="W355" i="2"/>
  <c r="X355" i="2"/>
  <c r="T356" i="2"/>
  <c r="V356" i="2"/>
  <c r="W356" i="2"/>
  <c r="X356" i="2"/>
  <c r="T357" i="2"/>
  <c r="V357" i="2"/>
  <c r="W357" i="2"/>
  <c r="X357" i="2"/>
  <c r="T358" i="2"/>
  <c r="V358" i="2"/>
  <c r="W358" i="2"/>
  <c r="X358" i="2"/>
  <c r="T359" i="2"/>
  <c r="V359" i="2"/>
  <c r="W359" i="2"/>
  <c r="X359" i="2"/>
  <c r="T360" i="2"/>
  <c r="V360" i="2"/>
  <c r="W360" i="2"/>
  <c r="X360" i="2"/>
  <c r="T361" i="2"/>
  <c r="V361" i="2"/>
  <c r="W361" i="2"/>
  <c r="X361" i="2"/>
  <c r="T362" i="2"/>
  <c r="V362" i="2"/>
  <c r="W362" i="2"/>
  <c r="X362" i="2"/>
  <c r="T363" i="2"/>
  <c r="V363" i="2"/>
  <c r="W363" i="2"/>
  <c r="X363" i="2"/>
  <c r="T364" i="2"/>
  <c r="V364" i="2"/>
  <c r="W364" i="2"/>
  <c r="X364" i="2"/>
  <c r="T365" i="2"/>
  <c r="V365" i="2"/>
  <c r="W365" i="2"/>
  <c r="X365" i="2"/>
  <c r="T366" i="2"/>
  <c r="V366" i="2"/>
  <c r="W366" i="2"/>
  <c r="X366" i="2"/>
  <c r="T367" i="2"/>
  <c r="V367" i="2"/>
  <c r="W367" i="2"/>
  <c r="X367" i="2"/>
  <c r="T368" i="2"/>
  <c r="V368" i="2"/>
  <c r="W368" i="2"/>
  <c r="X368" i="2"/>
  <c r="T369" i="2"/>
  <c r="V369" i="2"/>
  <c r="W369" i="2"/>
  <c r="X369" i="2"/>
  <c r="T370" i="2"/>
  <c r="V370" i="2"/>
  <c r="W370" i="2"/>
  <c r="X370" i="2"/>
  <c r="T371" i="2"/>
  <c r="V371" i="2"/>
  <c r="W371" i="2"/>
  <c r="X371" i="2"/>
  <c r="T372" i="2"/>
  <c r="V372" i="2"/>
  <c r="W372" i="2"/>
  <c r="X372" i="2"/>
  <c r="T373" i="2"/>
  <c r="V373" i="2"/>
  <c r="W373" i="2"/>
  <c r="X373" i="2"/>
  <c r="T374" i="2"/>
  <c r="V374" i="2"/>
  <c r="W374" i="2"/>
  <c r="X374" i="2"/>
  <c r="T375" i="2"/>
  <c r="V375" i="2"/>
  <c r="W375" i="2"/>
  <c r="X375" i="2"/>
  <c r="T376" i="2"/>
  <c r="V376" i="2"/>
  <c r="W376" i="2"/>
  <c r="X376" i="2"/>
  <c r="T377" i="2"/>
  <c r="V377" i="2"/>
  <c r="W377" i="2"/>
  <c r="X377" i="2"/>
  <c r="T378" i="2"/>
  <c r="V378" i="2"/>
  <c r="W378" i="2"/>
  <c r="X378" i="2"/>
  <c r="T379" i="2"/>
  <c r="V379" i="2"/>
  <c r="W379" i="2"/>
  <c r="X379" i="2"/>
  <c r="T380" i="2"/>
  <c r="V380" i="2"/>
  <c r="W380" i="2"/>
  <c r="X380" i="2"/>
  <c r="T381" i="2"/>
  <c r="V381" i="2"/>
  <c r="W381" i="2"/>
  <c r="X381" i="2"/>
  <c r="T382" i="2"/>
  <c r="V382" i="2"/>
  <c r="W382" i="2"/>
  <c r="X382" i="2"/>
  <c r="T383" i="2"/>
  <c r="V383" i="2"/>
  <c r="W383" i="2"/>
  <c r="X383" i="2"/>
  <c r="T384" i="2"/>
  <c r="V384" i="2"/>
  <c r="W384" i="2"/>
  <c r="X384" i="2"/>
  <c r="T385" i="2"/>
  <c r="V385" i="2"/>
  <c r="W385" i="2"/>
  <c r="X385" i="2"/>
  <c r="T386" i="2"/>
  <c r="V386" i="2"/>
  <c r="W386" i="2"/>
  <c r="T327" i="2"/>
  <c r="X327" i="2"/>
  <c r="T328" i="2"/>
  <c r="T323" i="2"/>
  <c r="V328" i="2"/>
  <c r="V327" i="2"/>
  <c r="W327" i="2"/>
  <c r="X386" i="2"/>
  <c r="T314" i="2"/>
  <c r="V314" i="2"/>
  <c r="T312" i="2"/>
  <c r="U314" i="2"/>
  <c r="W314" i="2"/>
  <c r="AA312" i="2"/>
  <c r="AD314" i="2"/>
  <c r="AD317" i="2"/>
  <c r="AA314" i="2"/>
  <c r="AC314" i="2"/>
  <c r="U315" i="2"/>
  <c r="AB314" i="2"/>
  <c r="AE314" i="2"/>
  <c r="AA315" i="2"/>
  <c r="AA253" i="2"/>
  <c r="AA252" i="2"/>
  <c r="AA254" i="2"/>
  <c r="AD315" i="2"/>
  <c r="AC315" i="2"/>
  <c r="AB315" i="2"/>
  <c r="AE315" i="2"/>
  <c r="X314" i="2"/>
  <c r="T315" i="2"/>
  <c r="X315" i="2"/>
  <c r="T253" i="2"/>
  <c r="V315" i="2"/>
  <c r="W315" i="2"/>
  <c r="AA256" i="2"/>
  <c r="AD256" i="2"/>
  <c r="AC256" i="2"/>
  <c r="AB256" i="2"/>
  <c r="AE256" i="2"/>
  <c r="AA257" i="2"/>
  <c r="AD257" i="2"/>
  <c r="AC257" i="2"/>
  <c r="AB257" i="2"/>
  <c r="AE257" i="2"/>
  <c r="AA258" i="2"/>
  <c r="AD258" i="2"/>
  <c r="AC258" i="2"/>
  <c r="AB258" i="2"/>
  <c r="AE258" i="2"/>
  <c r="AA259" i="2"/>
  <c r="AD259" i="2"/>
  <c r="AC259" i="2"/>
  <c r="AB259" i="2"/>
  <c r="AE259" i="2"/>
  <c r="AA260" i="2"/>
  <c r="AD260" i="2"/>
  <c r="AC260" i="2"/>
  <c r="AB260" i="2"/>
  <c r="AE260" i="2"/>
  <c r="AA261" i="2"/>
  <c r="AD261" i="2"/>
  <c r="AC261" i="2"/>
  <c r="AB261" i="2"/>
  <c r="AE261" i="2"/>
  <c r="AA262" i="2"/>
  <c r="AD262" i="2"/>
  <c r="AC262" i="2"/>
  <c r="AB262" i="2"/>
  <c r="AE262" i="2"/>
  <c r="AA263" i="2"/>
  <c r="AD263" i="2"/>
  <c r="AC263" i="2"/>
  <c r="AB263" i="2"/>
  <c r="AE263" i="2"/>
  <c r="AA264" i="2"/>
  <c r="AD264" i="2"/>
  <c r="AC264" i="2"/>
  <c r="AB264" i="2"/>
  <c r="AE264" i="2"/>
  <c r="AA265" i="2"/>
  <c r="AD265" i="2"/>
  <c r="AC265" i="2"/>
  <c r="AB265" i="2"/>
  <c r="AE265" i="2"/>
  <c r="AA266" i="2"/>
  <c r="AD266" i="2"/>
  <c r="AC266" i="2"/>
  <c r="AB266" i="2"/>
  <c r="AE266" i="2"/>
  <c r="AA267" i="2"/>
  <c r="AD267" i="2"/>
  <c r="AC267" i="2"/>
  <c r="AB267" i="2"/>
  <c r="AE267" i="2"/>
  <c r="AA268" i="2"/>
  <c r="AD268" i="2"/>
  <c r="AC268" i="2"/>
  <c r="AB268" i="2"/>
  <c r="AE268" i="2"/>
  <c r="AA269" i="2"/>
  <c r="AD269" i="2"/>
  <c r="AC269" i="2"/>
  <c r="AB269" i="2"/>
  <c r="AE269" i="2"/>
  <c r="AA270" i="2"/>
  <c r="AD270" i="2"/>
  <c r="AC270" i="2"/>
  <c r="AB270" i="2"/>
  <c r="AE270" i="2"/>
  <c r="AA271" i="2"/>
  <c r="AD271" i="2"/>
  <c r="AC271" i="2"/>
  <c r="AB271" i="2"/>
  <c r="AE271" i="2"/>
  <c r="AA272" i="2"/>
  <c r="AD272" i="2"/>
  <c r="AC272" i="2"/>
  <c r="AB272" i="2"/>
  <c r="AE272" i="2"/>
  <c r="AA273" i="2"/>
  <c r="AD273" i="2"/>
  <c r="AC273" i="2"/>
  <c r="AB273" i="2"/>
  <c r="AE273" i="2"/>
  <c r="AA274" i="2"/>
  <c r="AD274" i="2"/>
  <c r="AC274" i="2"/>
  <c r="AB274" i="2"/>
  <c r="AE274" i="2"/>
  <c r="AA275" i="2"/>
  <c r="AD275" i="2"/>
  <c r="AC275" i="2"/>
  <c r="AB275" i="2"/>
  <c r="AE275" i="2"/>
  <c r="AA276" i="2"/>
  <c r="AD276" i="2"/>
  <c r="AC276" i="2"/>
  <c r="AB276" i="2"/>
  <c r="AE276" i="2"/>
  <c r="AA277" i="2"/>
  <c r="AD277" i="2"/>
  <c r="AC277" i="2"/>
  <c r="AB277" i="2"/>
  <c r="AE277" i="2"/>
  <c r="AA278" i="2"/>
  <c r="AD278" i="2"/>
  <c r="AC278" i="2"/>
  <c r="AB278" i="2"/>
  <c r="AE278" i="2"/>
  <c r="AA279" i="2"/>
  <c r="AD279" i="2"/>
  <c r="AC279" i="2"/>
  <c r="AB279" i="2"/>
  <c r="AE279" i="2"/>
  <c r="AA280" i="2"/>
  <c r="AD280" i="2"/>
  <c r="AC280" i="2"/>
  <c r="AB280" i="2"/>
  <c r="AE280" i="2"/>
  <c r="AA281" i="2"/>
  <c r="AD281" i="2"/>
  <c r="AC281" i="2"/>
  <c r="AB281" i="2"/>
  <c r="AE281" i="2"/>
  <c r="AA282" i="2"/>
  <c r="AD282" i="2"/>
  <c r="AC282" i="2"/>
  <c r="AB282" i="2"/>
  <c r="AE282" i="2"/>
  <c r="AA283" i="2"/>
  <c r="AD283" i="2"/>
  <c r="AC283" i="2"/>
  <c r="AB283" i="2"/>
  <c r="AE283" i="2"/>
  <c r="AA284" i="2"/>
  <c r="AD284" i="2"/>
  <c r="AC284" i="2"/>
  <c r="AB284" i="2"/>
  <c r="AE284" i="2"/>
  <c r="AA285" i="2"/>
  <c r="AD285" i="2"/>
  <c r="AC285" i="2"/>
  <c r="AB285" i="2"/>
  <c r="AE285" i="2"/>
  <c r="T251" i="2"/>
  <c r="T256" i="2"/>
  <c r="T254" i="2"/>
  <c r="U256" i="2"/>
  <c r="X256" i="2"/>
  <c r="T257" i="2"/>
  <c r="V257" i="2"/>
  <c r="U257" i="2"/>
  <c r="X257" i="2"/>
  <c r="T258" i="2"/>
  <c r="V258" i="2"/>
  <c r="U258" i="2"/>
  <c r="X258" i="2"/>
  <c r="T259" i="2"/>
  <c r="V259" i="2"/>
  <c r="U259" i="2"/>
  <c r="X259" i="2"/>
  <c r="T260" i="2"/>
  <c r="V260" i="2"/>
  <c r="U260" i="2"/>
  <c r="X260" i="2"/>
  <c r="T261" i="2"/>
  <c r="V261" i="2"/>
  <c r="U261" i="2"/>
  <c r="X261" i="2"/>
  <c r="T262" i="2"/>
  <c r="V262" i="2"/>
  <c r="U262" i="2"/>
  <c r="X262" i="2"/>
  <c r="T263" i="2"/>
  <c r="V263" i="2"/>
  <c r="U263" i="2"/>
  <c r="X263" i="2"/>
  <c r="T264" i="2"/>
  <c r="V264" i="2"/>
  <c r="U264" i="2"/>
  <c r="X264" i="2"/>
  <c r="T265" i="2"/>
  <c r="V265" i="2"/>
  <c r="U265" i="2"/>
  <c r="X265" i="2"/>
  <c r="T266" i="2"/>
  <c r="V266" i="2"/>
  <c r="U266" i="2"/>
  <c r="X266" i="2"/>
  <c r="T267" i="2"/>
  <c r="V267" i="2"/>
  <c r="U267" i="2"/>
  <c r="X267" i="2"/>
  <c r="T268" i="2"/>
  <c r="V268" i="2"/>
  <c r="U268" i="2"/>
  <c r="X268" i="2"/>
  <c r="T269" i="2"/>
  <c r="V269" i="2"/>
  <c r="U269" i="2"/>
  <c r="X269" i="2"/>
  <c r="T270" i="2"/>
  <c r="V270" i="2"/>
  <c r="U270" i="2"/>
  <c r="X270" i="2"/>
  <c r="T271" i="2"/>
  <c r="V271" i="2"/>
  <c r="U271" i="2"/>
  <c r="X271" i="2"/>
  <c r="T272" i="2"/>
  <c r="V272" i="2"/>
  <c r="U272" i="2"/>
  <c r="X272" i="2"/>
  <c r="T273" i="2"/>
  <c r="V273" i="2"/>
  <c r="V256" i="2"/>
  <c r="U273" i="2"/>
  <c r="W271" i="2"/>
  <c r="W272" i="2"/>
  <c r="W273" i="2"/>
  <c r="X273" i="2"/>
  <c r="W256" i="2"/>
  <c r="AD253" i="2"/>
  <c r="AA286" i="2"/>
  <c r="AC286" i="2"/>
  <c r="AD286" i="2"/>
  <c r="AB286" i="2"/>
  <c r="AE286" i="2"/>
  <c r="AA287" i="2"/>
  <c r="AC287" i="2"/>
  <c r="AD287" i="2"/>
  <c r="AB287" i="2"/>
  <c r="AE287" i="2"/>
  <c r="AA288" i="2"/>
  <c r="AC288" i="2"/>
  <c r="AD288" i="2"/>
  <c r="AB288" i="2"/>
  <c r="AE288" i="2"/>
  <c r="AA289" i="2"/>
  <c r="AC289" i="2"/>
  <c r="AD289" i="2"/>
  <c r="AB289" i="2"/>
  <c r="AE289" i="2"/>
  <c r="AA290" i="2"/>
  <c r="AC290" i="2"/>
  <c r="AD290" i="2"/>
  <c r="AB290" i="2"/>
  <c r="AE290" i="2"/>
  <c r="AA291" i="2"/>
  <c r="AC291" i="2"/>
  <c r="AD291" i="2"/>
  <c r="AB291" i="2"/>
  <c r="AE291" i="2"/>
  <c r="AA292" i="2"/>
  <c r="AC292" i="2"/>
  <c r="AD292" i="2"/>
  <c r="AB292" i="2"/>
  <c r="AE292" i="2"/>
  <c r="AA293" i="2"/>
  <c r="AC293" i="2"/>
  <c r="AD293" i="2"/>
  <c r="AB293" i="2"/>
  <c r="AE293" i="2"/>
  <c r="AA294" i="2"/>
  <c r="AC294" i="2"/>
  <c r="AD294" i="2"/>
  <c r="AB294" i="2"/>
  <c r="AE294" i="2"/>
  <c r="AA295" i="2"/>
  <c r="AC295" i="2"/>
  <c r="AD295" i="2"/>
  <c r="AB295" i="2"/>
  <c r="AE295" i="2"/>
  <c r="AA296" i="2"/>
  <c r="AC296" i="2"/>
  <c r="AD296" i="2"/>
  <c r="AB296" i="2"/>
  <c r="AE296" i="2"/>
  <c r="AA297" i="2"/>
  <c r="AC297" i="2"/>
  <c r="AD297" i="2"/>
  <c r="AB297" i="2"/>
  <c r="AE297" i="2"/>
  <c r="AA298" i="2"/>
  <c r="AC298" i="2"/>
  <c r="AD298" i="2"/>
  <c r="AB298" i="2"/>
  <c r="AE298" i="2"/>
  <c r="AA299" i="2"/>
  <c r="AC299" i="2"/>
  <c r="AD299" i="2"/>
  <c r="AB299" i="2"/>
  <c r="AE299" i="2"/>
  <c r="AA300" i="2"/>
  <c r="AC300" i="2"/>
  <c r="AD300" i="2"/>
  <c r="AB300" i="2"/>
  <c r="AE300" i="2"/>
  <c r="AA301" i="2"/>
  <c r="AC301" i="2"/>
  <c r="AD301" i="2"/>
  <c r="AB301" i="2"/>
  <c r="AE301" i="2"/>
  <c r="AA302" i="2"/>
  <c r="AC302" i="2"/>
  <c r="AD302" i="2"/>
  <c r="AB302" i="2"/>
  <c r="AE302" i="2"/>
  <c r="AA303" i="2"/>
  <c r="AC303" i="2"/>
  <c r="AD303" i="2"/>
  <c r="AB303" i="2"/>
  <c r="AE303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J234" i="2"/>
  <c r="K235" i="2"/>
  <c r="K234" i="2"/>
  <c r="J201" i="2"/>
  <c r="J202" i="2"/>
  <c r="J204" i="2"/>
  <c r="K163" i="2"/>
  <c r="K164" i="2"/>
  <c r="K165" i="2"/>
  <c r="K161" i="2"/>
  <c r="I163" i="2"/>
  <c r="I165" i="2"/>
  <c r="L160" i="2"/>
  <c r="J165" i="2"/>
  <c r="M160" i="2"/>
  <c r="N164" i="2"/>
  <c r="N165" i="2"/>
  <c r="M163" i="2"/>
  <c r="M165" i="2"/>
  <c r="N160" i="2"/>
  <c r="O160" i="2"/>
  <c r="J126" i="2"/>
  <c r="J128" i="2"/>
  <c r="J129" i="2"/>
  <c r="J130" i="2"/>
  <c r="L128" i="2"/>
  <c r="O52" i="2"/>
  <c r="O53" i="2"/>
  <c r="O54" i="2"/>
  <c r="J52" i="2"/>
  <c r="M52" i="2"/>
  <c r="M53" i="2"/>
  <c r="M54" i="2"/>
  <c r="O56" i="2"/>
  <c r="J60" i="2"/>
  <c r="J58" i="2"/>
  <c r="N54" i="2"/>
  <c r="J23" i="2"/>
  <c r="O22" i="2"/>
  <c r="J26" i="2"/>
  <c r="P24" i="2"/>
</calcChain>
</file>

<file path=xl/sharedStrings.xml><?xml version="1.0" encoding="utf-8"?>
<sst xmlns="http://schemas.openxmlformats.org/spreadsheetml/2006/main" count="215" uniqueCount="102">
  <si>
    <t>הלוואה</t>
  </si>
  <si>
    <t>אג"ח סדרה ב</t>
  </si>
  <si>
    <t>אג"ח סדרה א</t>
  </si>
  <si>
    <t>ריבית שנתית</t>
  </si>
  <si>
    <t>ריבית נקובה שנתית</t>
  </si>
  <si>
    <t>ערך נקוב</t>
  </si>
  <si>
    <t>ריבית חודשית:</t>
  </si>
  <si>
    <t>ריבית חודשית</t>
  </si>
  <si>
    <t>קופון</t>
  </si>
  <si>
    <t>חודשים</t>
  </si>
  <si>
    <t xml:space="preserve">מרווח בין קופונים </t>
  </si>
  <si>
    <t>מרווח בין קופונים</t>
  </si>
  <si>
    <t>תקבול חודשי</t>
  </si>
  <si>
    <t>ע. פתיחת תיק</t>
  </si>
  <si>
    <t xml:space="preserve">מספר קופונים </t>
  </si>
  <si>
    <t>מספר קופונים</t>
  </si>
  <si>
    <t>PV</t>
  </si>
  <si>
    <t>ע.סגירת תיק</t>
  </si>
  <si>
    <t>מחיר בהנפקה</t>
  </si>
  <si>
    <t>סכום ההחזר (קרן+ריבית)</t>
  </si>
  <si>
    <t>הקופון</t>
  </si>
  <si>
    <t>נחשב מחיר בהנפקה</t>
  </si>
  <si>
    <t>נחשב את התשואה החצי-שנתית לפדיון</t>
  </si>
  <si>
    <t>ריבית גלומה ל-10 חודשים:</t>
  </si>
  <si>
    <t>תשואה שנתית לפדיון</t>
  </si>
  <si>
    <t>הריבית השנתית האפקטיבית:</t>
  </si>
  <si>
    <t>PMT</t>
  </si>
  <si>
    <t>B</t>
  </si>
  <si>
    <t>A</t>
  </si>
  <si>
    <t>השקעה</t>
  </si>
  <si>
    <t>תקבול</t>
  </si>
  <si>
    <t>NPV</t>
  </si>
  <si>
    <t>ריבית אפקטיבית שנתית</t>
  </si>
  <si>
    <t>ה - 50,000 בזמן 1 שווה בזמן 5:</t>
  </si>
  <si>
    <t>יש 4 תקופות זמן</t>
  </si>
  <si>
    <t>ולכן חסר לסכום הנכס:</t>
  </si>
  <si>
    <t>זהו הערך העתידי החסר</t>
  </si>
  <si>
    <t xml:space="preserve">מיהו הסכום החד פעמי הנוכחי בזמן 4 שיביא ערך עתידי זה? </t>
  </si>
  <si>
    <t xml:space="preserve">הערה: יש 1 תקופות זמן בין זמן 4 לזמן 5 - </t>
  </si>
  <si>
    <t>מגבלת תקציב</t>
  </si>
  <si>
    <t>הפרוייקטים</t>
  </si>
  <si>
    <t>PI</t>
  </si>
  <si>
    <t>תשואה חצי שנתית לפדיון</t>
  </si>
  <si>
    <t>C</t>
  </si>
  <si>
    <t>D</t>
  </si>
  <si>
    <t>נחשב את גובה הקופון</t>
  </si>
  <si>
    <t>E</t>
  </si>
  <si>
    <t>נחשב את הריבית הנקובה על האג"ח</t>
  </si>
  <si>
    <t>F</t>
  </si>
  <si>
    <t>הפרוייקטים הנבחרים לפי סדר יורד של PI</t>
  </si>
  <si>
    <t>ענ"נ</t>
  </si>
  <si>
    <t>יתרת תקציב</t>
  </si>
  <si>
    <t>החזר חודשי</t>
  </si>
  <si>
    <t>מספר שנים</t>
  </si>
  <si>
    <t>מספר חודשים</t>
  </si>
  <si>
    <t>type</t>
  </si>
  <si>
    <t>הריבית הריאלית לשנה היא 2%.</t>
  </si>
  <si>
    <t>מכאן שהריבית הריאלית ל- 3 שנים היא:</t>
  </si>
  <si>
    <t>מספר תקופות</t>
  </si>
  <si>
    <t>פרויקט א' לאחר התיקון</t>
  </si>
  <si>
    <t>תקבול 1</t>
  </si>
  <si>
    <t>תקבול 2</t>
  </si>
  <si>
    <t>תקבול 3</t>
  </si>
  <si>
    <t>תקבול 4</t>
  </si>
  <si>
    <t>תקבול 5</t>
  </si>
  <si>
    <t>תקבול 6</t>
  </si>
  <si>
    <t>תקבול 7</t>
  </si>
  <si>
    <t>תקבול 8</t>
  </si>
  <si>
    <t>תקבול 9</t>
  </si>
  <si>
    <t>תקבול 10</t>
  </si>
  <si>
    <t>תקבול 11</t>
  </si>
  <si>
    <t>תקבול 12</t>
  </si>
  <si>
    <t>תקופת משיכות</t>
  </si>
  <si>
    <t>תקופת הפקדות</t>
  </si>
  <si>
    <t>N</t>
  </si>
  <si>
    <t>.....10</t>
  </si>
  <si>
    <t>X</t>
  </si>
  <si>
    <t>IRR</t>
  </si>
  <si>
    <t>רגיל</t>
  </si>
  <si>
    <t>שפיצר</t>
  </si>
  <si>
    <t>נתונים:</t>
  </si>
  <si>
    <t>n</t>
  </si>
  <si>
    <t>ריבית</t>
  </si>
  <si>
    <t>r</t>
  </si>
  <si>
    <t xml:space="preserve">Rשנתי </t>
  </si>
  <si>
    <t>קרן קבועה</t>
  </si>
  <si>
    <t>מספר תקבול</t>
  </si>
  <si>
    <t>יתרת הקרן בתחילת תקופה</t>
  </si>
  <si>
    <t>תשלום ע"ח קרן</t>
  </si>
  <si>
    <t>תשלום ע"ח ריבית</t>
  </si>
  <si>
    <t>סך הכל תשלום</t>
  </si>
  <si>
    <t>יתרת הקרן בסוף התקופה</t>
  </si>
  <si>
    <t>.ד</t>
  </si>
  <si>
    <t>מבחן מה-30.7.19 2019ב</t>
  </si>
  <si>
    <t>מורה פרטי ומרצה למימון, שוק ההון ושמאות מקרקעין.</t>
  </si>
  <si>
    <t>רוצים להכיר אותי? כנסו לאתר</t>
  </si>
  <si>
    <t>אופיר מאגדי   0507484348</t>
  </si>
  <si>
    <t>www.NPV.co.il</t>
  </si>
  <si>
    <t>רוצים לקרוא עוד? כמסו לאתר:</t>
  </si>
  <si>
    <t>www.IRR.co.il</t>
  </si>
  <si>
    <r>
      <t xml:space="preserve">מנכ"ל חברת </t>
    </r>
    <r>
      <rPr>
        <b/>
        <sz val="11"/>
        <color rgb="FFC00000"/>
        <rFont val="Arial"/>
        <family val="2"/>
        <scheme val="minor"/>
      </rPr>
      <t>P</t>
    </r>
    <r>
      <rPr>
        <b/>
        <sz val="11"/>
        <color rgb="FF002060"/>
        <rFont val="Arial"/>
        <family val="2"/>
        <scheme val="minor"/>
      </rPr>
      <t xml:space="preserve">rimary </t>
    </r>
    <r>
      <rPr>
        <b/>
        <sz val="11"/>
        <color rgb="FFC00000"/>
        <rFont val="Arial"/>
        <family val="2"/>
        <scheme val="minor"/>
      </rPr>
      <t>C</t>
    </r>
    <r>
      <rPr>
        <b/>
        <sz val="11"/>
        <color rgb="FF002060"/>
        <rFont val="Arial"/>
        <family val="2"/>
        <scheme val="minor"/>
      </rPr>
      <t>apital</t>
    </r>
  </si>
  <si>
    <t>www.prim.co.il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</si>
</sst>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₪&quot;\ #,##0.00;[Red]&quot;₪&quot;\ \-#,##0.00"/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sz val="11"/>
      <color rgb="FFC00000"/>
      <name val="Arial"/>
      <family val="2"/>
      <charset val="177"/>
      <scheme val="minor"/>
    </font>
    <font>
      <b/>
      <sz val="11"/>
      <color rgb="FF00206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2" xfId="0" applyBorder="1"/>
    <xf numFmtId="0" fontId="0" fillId="0" borderId="1" xfId="0" applyBorder="1"/>
    <xf numFmtId="10" fontId="0" fillId="0" borderId="2" xfId="0" applyNumberFormat="1" applyBorder="1"/>
    <xf numFmtId="3" fontId="0" fillId="0" borderId="0" xfId="0" applyNumberFormat="1"/>
    <xf numFmtId="3" fontId="0" fillId="0" borderId="2" xfId="0" applyNumberFormat="1" applyBorder="1"/>
    <xf numFmtId="10" fontId="0" fillId="0" borderId="2" xfId="2" applyNumberFormat="1" applyFont="1" applyBorder="1"/>
    <xf numFmtId="9" fontId="0" fillId="0" borderId="0" xfId="2" applyFont="1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8" fontId="0" fillId="0" borderId="2" xfId="0" applyNumberFormat="1" applyBorder="1"/>
    <xf numFmtId="40" fontId="0" fillId="2" borderId="2" xfId="0" applyNumberFormat="1" applyFill="1" applyBorder="1"/>
    <xf numFmtId="10" fontId="0" fillId="0" borderId="0" xfId="0" applyNumberFormat="1"/>
    <xf numFmtId="10" fontId="0" fillId="0" borderId="5" xfId="0" applyNumberFormat="1" applyBorder="1"/>
    <xf numFmtId="0" fontId="0" fillId="0" borderId="5" xfId="0" applyBorder="1"/>
    <xf numFmtId="8" fontId="0" fillId="0" borderId="0" xfId="0" applyNumberFormat="1"/>
    <xf numFmtId="9" fontId="0" fillId="0" borderId="0" xfId="0" applyNumberFormat="1"/>
    <xf numFmtId="0" fontId="4" fillId="0" borderId="2" xfId="0" applyFont="1" applyBorder="1"/>
    <xf numFmtId="0" fontId="4" fillId="0" borderId="0" xfId="0" applyFont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 readingOrder="1"/>
    </xf>
    <xf numFmtId="0" fontId="4" fillId="0" borderId="1" xfId="0" applyFont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right"/>
    </xf>
    <xf numFmtId="0" fontId="0" fillId="2" borderId="0" xfId="0" applyFill="1"/>
    <xf numFmtId="0" fontId="5" fillId="2" borderId="0" xfId="0" applyFont="1" applyFill="1"/>
    <xf numFmtId="0" fontId="0" fillId="0" borderId="0" xfId="0" applyBorder="1"/>
    <xf numFmtId="9" fontId="0" fillId="0" borderId="0" xfId="0" applyNumberFormat="1" applyBorder="1"/>
    <xf numFmtId="10" fontId="0" fillId="0" borderId="0" xfId="2" applyNumberFormat="1" applyFont="1" applyBorder="1"/>
    <xf numFmtId="3" fontId="0" fillId="0" borderId="0" xfId="0" applyNumberFormat="1" applyBorder="1"/>
    <xf numFmtId="8" fontId="0" fillId="0" borderId="0" xfId="0" applyNumberFormat="1" applyBorder="1"/>
    <xf numFmtId="3" fontId="0" fillId="0" borderId="7" xfId="0" applyNumberFormat="1" applyBorder="1"/>
    <xf numFmtId="10" fontId="0" fillId="2" borderId="0" xfId="2" applyNumberFormat="1" applyFont="1" applyFill="1" applyBorder="1"/>
    <xf numFmtId="0" fontId="0" fillId="2" borderId="2" xfId="0" applyFill="1" applyBorder="1"/>
    <xf numFmtId="0" fontId="6" fillId="2" borderId="1" xfId="0" applyFont="1" applyFill="1" applyBorder="1"/>
    <xf numFmtId="0" fontId="6" fillId="2" borderId="0" xfId="0" applyFont="1" applyFill="1"/>
    <xf numFmtId="10" fontId="0" fillId="2" borderId="0" xfId="0" applyNumberFormat="1" applyFill="1"/>
    <xf numFmtId="0" fontId="0" fillId="0" borderId="7" xfId="0" applyBorder="1"/>
    <xf numFmtId="8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43" fontId="0" fillId="0" borderId="0" xfId="0" applyNumberFormat="1" applyBorder="1"/>
    <xf numFmtId="8" fontId="0" fillId="2" borderId="0" xfId="0" applyNumberFormat="1" applyFill="1" applyBorder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/>
    <xf numFmtId="0" fontId="3" fillId="0" borderId="1" xfId="0" applyFont="1" applyBorder="1"/>
    <xf numFmtId="10" fontId="0" fillId="0" borderId="0" xfId="0" applyNumberFormat="1" applyAlignment="1">
      <alignment horizontal="center"/>
    </xf>
    <xf numFmtId="8" fontId="0" fillId="2" borderId="0" xfId="0" applyNumberFormat="1" applyFill="1"/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8" fillId="3" borderId="6" xfId="0" applyFont="1" applyFill="1" applyBorder="1"/>
    <xf numFmtId="0" fontId="4" fillId="0" borderId="6" xfId="0" applyFon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0" fontId="4" fillId="0" borderId="6" xfId="0" applyFont="1" applyBorder="1"/>
    <xf numFmtId="8" fontId="0" fillId="0" borderId="6" xfId="0" applyNumberFormat="1" applyBorder="1"/>
    <xf numFmtId="8" fontId="0" fillId="4" borderId="6" xfId="0" applyNumberFormat="1" applyFill="1" applyBorder="1" applyAlignment="1">
      <alignment horizontal="center"/>
    </xf>
    <xf numFmtId="8" fontId="0" fillId="2" borderId="6" xfId="0" applyNumberFormat="1" applyFill="1" applyBorder="1" applyAlignment="1">
      <alignment horizontal="center"/>
    </xf>
    <xf numFmtId="8" fontId="0" fillId="5" borderId="6" xfId="0" applyNumberFormat="1" applyFill="1" applyBorder="1" applyAlignment="1">
      <alignment horizontal="center"/>
    </xf>
    <xf numFmtId="8" fontId="7" fillId="2" borderId="0" xfId="0" applyNumberFormat="1" applyFont="1" applyFill="1"/>
    <xf numFmtId="10" fontId="0" fillId="0" borderId="0" xfId="0" applyNumberFormat="1" applyBorder="1"/>
    <xf numFmtId="3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8" fontId="0" fillId="0" borderId="0" xfId="0" applyNumberFormat="1" applyBorder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right"/>
    </xf>
    <xf numFmtId="9" fontId="0" fillId="0" borderId="0" xfId="0" applyNumberForma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1" fillId="2" borderId="0" xfId="0" applyFont="1" applyFill="1"/>
    <xf numFmtId="0" fontId="8" fillId="0" borderId="0" xfId="0" applyFont="1"/>
    <xf numFmtId="0" fontId="12" fillId="0" borderId="0" xfId="3"/>
    <xf numFmtId="0" fontId="8" fillId="0" borderId="0" xfId="0" applyFont="1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632460</xdr:colOff>
      <xdr:row>0</xdr:row>
      <xdr:rowOff>68580</xdr:rowOff>
    </xdr:from>
    <xdr:to>
      <xdr:col>13</xdr:col>
      <xdr:colOff>1097280</xdr:colOff>
      <xdr:row>18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44755-62C8-49AF-B7DD-E69EE3D4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325780" y="68580"/>
          <a:ext cx="7802880" cy="313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548640</xdr:colOff>
      <xdr:row>32</xdr:row>
      <xdr:rowOff>38100</xdr:rowOff>
    </xdr:from>
    <xdr:to>
      <xdr:col>12</xdr:col>
      <xdr:colOff>617220</xdr:colOff>
      <xdr:row>48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146989-7FE1-4325-9A7E-AD089A1EA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314600" y="7924800"/>
          <a:ext cx="6568440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426720</xdr:colOff>
      <xdr:row>63</xdr:row>
      <xdr:rowOff>76200</xdr:rowOff>
    </xdr:from>
    <xdr:to>
      <xdr:col>13</xdr:col>
      <xdr:colOff>1104900</xdr:colOff>
      <xdr:row>79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7B5444-D6F4-41A4-B3FF-805C5454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988720" y="13395960"/>
          <a:ext cx="8016240" cy="2857500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7</xdr:col>
      <xdr:colOff>419100</xdr:colOff>
      <xdr:row>100</xdr:row>
      <xdr:rowOff>15240</xdr:rowOff>
    </xdr:from>
    <xdr:to>
      <xdr:col>13</xdr:col>
      <xdr:colOff>1150620</xdr:colOff>
      <xdr:row>120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633345-8E02-4F0F-8D79-5E0B055D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943000" y="19819620"/>
          <a:ext cx="8069580" cy="3604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140</xdr:row>
      <xdr:rowOff>53340</xdr:rowOff>
    </xdr:from>
    <xdr:to>
      <xdr:col>14</xdr:col>
      <xdr:colOff>167640</xdr:colOff>
      <xdr:row>157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B49F96-806A-4382-B07D-64AF6BBE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760120" y="26868120"/>
          <a:ext cx="8321040" cy="296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640080</xdr:colOff>
      <xdr:row>175</xdr:row>
      <xdr:rowOff>45720</xdr:rowOff>
    </xdr:from>
    <xdr:to>
      <xdr:col>14</xdr:col>
      <xdr:colOff>45720</xdr:colOff>
      <xdr:row>190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9A0B73-1609-4547-88BE-59B815882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882040" y="32994600"/>
          <a:ext cx="7909560" cy="26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208</xdr:row>
      <xdr:rowOff>99060</xdr:rowOff>
    </xdr:from>
    <xdr:to>
      <xdr:col>12</xdr:col>
      <xdr:colOff>365760</xdr:colOff>
      <xdr:row>228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A26940-C8BB-44B2-A922-BF368AC8B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566060" y="38831520"/>
          <a:ext cx="6195060" cy="348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</xdr:colOff>
      <xdr:row>244</xdr:row>
      <xdr:rowOff>167640</xdr:rowOff>
    </xdr:from>
    <xdr:to>
      <xdr:col>14</xdr:col>
      <xdr:colOff>38100</xdr:colOff>
      <xdr:row>261</xdr:row>
      <xdr:rowOff>30480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EA28AD0-EAC0-4A9F-B4A9-E6FCDF02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6076600" y="43037760"/>
          <a:ext cx="7833360" cy="290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541020</xdr:colOff>
      <xdr:row>277</xdr:row>
      <xdr:rowOff>60960</xdr:rowOff>
    </xdr:from>
    <xdr:to>
      <xdr:col>12</xdr:col>
      <xdr:colOff>678180</xdr:colOff>
      <xdr:row>296</xdr:row>
      <xdr:rowOff>45720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F3C0E1-B30F-4587-B9AC-448D70306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253640" y="50886360"/>
          <a:ext cx="6637020" cy="345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</xdr:colOff>
      <xdr:row>312</xdr:row>
      <xdr:rowOff>22860</xdr:rowOff>
    </xdr:from>
    <xdr:to>
      <xdr:col>14</xdr:col>
      <xdr:colOff>30480</xdr:colOff>
      <xdr:row>326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FBDDD4C-6460-4597-8982-3F1BFB4C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197240" y="55199280"/>
          <a:ext cx="7818120" cy="258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344</xdr:row>
      <xdr:rowOff>99060</xdr:rowOff>
    </xdr:from>
    <xdr:to>
      <xdr:col>12</xdr:col>
      <xdr:colOff>525780</xdr:colOff>
      <xdr:row>358</xdr:row>
      <xdr:rowOff>15240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48E1169-E3BD-48CA-A063-9FEA831A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406040" y="62666880"/>
          <a:ext cx="649224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640080</xdr:colOff>
      <xdr:row>372</xdr:row>
      <xdr:rowOff>144780</xdr:rowOff>
    </xdr:from>
    <xdr:to>
      <xdr:col>12</xdr:col>
      <xdr:colOff>762000</xdr:colOff>
      <xdr:row>395</xdr:row>
      <xdr:rowOff>91440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5B8B14F-097B-4E0F-AF26-506F2819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169820" y="67619880"/>
          <a:ext cx="6621780" cy="408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472440</xdr:colOff>
      <xdr:row>420</xdr:row>
      <xdr:rowOff>91440</xdr:rowOff>
    </xdr:from>
    <xdr:to>
      <xdr:col>12</xdr:col>
      <xdr:colOff>701040</xdr:colOff>
      <xdr:row>433</xdr:row>
      <xdr:rowOff>160020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37257F8-C3CC-48BB-BE3E-3F1464E71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622180" y="74698860"/>
          <a:ext cx="6728460" cy="234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457200</xdr:colOff>
      <xdr:row>456</xdr:row>
      <xdr:rowOff>53340</xdr:rowOff>
    </xdr:from>
    <xdr:to>
      <xdr:col>14</xdr:col>
      <xdr:colOff>144780</xdr:colOff>
      <xdr:row>473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FBC196A-FF57-4BCF-BBDE-E10A4597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174380" y="80970120"/>
          <a:ext cx="8191500" cy="307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205740</xdr:colOff>
      <xdr:row>497</xdr:row>
      <xdr:rowOff>91440</xdr:rowOff>
    </xdr:from>
    <xdr:to>
      <xdr:col>14</xdr:col>
      <xdr:colOff>7620</xdr:colOff>
      <xdr:row>513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DDE1E6-1FD8-4AB3-B4F1-3385D08E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311540" y="88193880"/>
          <a:ext cx="8305800" cy="271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426720</xdr:colOff>
      <xdr:row>2</xdr:row>
      <xdr:rowOff>22860</xdr:rowOff>
    </xdr:from>
    <xdr:to>
      <xdr:col>8</xdr:col>
      <xdr:colOff>1295400</xdr:colOff>
      <xdr:row>8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70BD74-FBBD-4CA5-8463-078945D8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464980" y="457200"/>
          <a:ext cx="6949440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434340</xdr:colOff>
      <xdr:row>8</xdr:row>
      <xdr:rowOff>121920</xdr:rowOff>
    </xdr:from>
    <xdr:to>
      <xdr:col>8</xdr:col>
      <xdr:colOff>1402080</xdr:colOff>
      <xdr:row>27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E081EB-D245-4AA1-AA8B-1C8C8616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358300" y="1607820"/>
          <a:ext cx="704850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411480</xdr:colOff>
      <xdr:row>27</xdr:row>
      <xdr:rowOff>53340</xdr:rowOff>
    </xdr:from>
    <xdr:to>
      <xdr:col>9</xdr:col>
      <xdr:colOff>53340</xdr:colOff>
      <xdr:row>41</xdr:row>
      <xdr:rowOff>53340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1B00B4-33ED-45DA-AAE8-37ACF0493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213520" y="4899660"/>
          <a:ext cx="7216140" cy="245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im.co.il/" TargetMode="External"/><Relationship Id="rId2" Type="http://schemas.openxmlformats.org/officeDocument/2006/relationships/hyperlink" Target="http://www.irr.co.il/" TargetMode="External"/><Relationship Id="rId1" Type="http://schemas.openxmlformats.org/officeDocument/2006/relationships/hyperlink" Target="http://www.npv.co.il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75AA-7A78-4D7E-85EF-A5CA7F848521}">
  <sheetPr>
    <tabColor rgb="FFFFFF00"/>
  </sheetPr>
  <dimension ref="A2:AE569"/>
  <sheetViews>
    <sheetView rightToLeft="1" tabSelected="1" workbookViewId="0">
      <selection activeCell="E18" sqref="E18"/>
    </sheetView>
  </sheetViews>
  <sheetFormatPr defaultRowHeight="13.8" x14ac:dyDescent="0.25"/>
  <cols>
    <col min="5" max="5" width="7.796875" customWidth="1"/>
    <col min="9" max="9" width="28.59765625" customWidth="1"/>
    <col min="10" max="10" width="20.69921875" bestFit="1" customWidth="1"/>
    <col min="11" max="11" width="15" customWidth="1"/>
    <col min="12" max="12" width="12.19921875" customWidth="1"/>
    <col min="13" max="13" width="11" bestFit="1" customWidth="1"/>
    <col min="14" max="14" width="15.296875" customWidth="1"/>
    <col min="16" max="16" width="10.59765625" bestFit="1" customWidth="1"/>
    <col min="20" max="20" width="19" customWidth="1"/>
    <col min="21" max="21" width="12.69921875" customWidth="1"/>
    <col min="22" max="22" width="12.796875" customWidth="1"/>
    <col min="23" max="23" width="12" customWidth="1"/>
    <col min="24" max="24" width="19.59765625" bestFit="1" customWidth="1"/>
    <col min="27" max="27" width="20.69921875" bestFit="1" customWidth="1"/>
    <col min="28" max="28" width="11.796875" customWidth="1"/>
    <col min="29" max="29" width="15.296875" customWidth="1"/>
    <col min="30" max="30" width="12.796875" customWidth="1"/>
    <col min="31" max="31" width="19.59765625" bestFit="1" customWidth="1"/>
  </cols>
  <sheetData>
    <row r="2" spans="1:5" ht="17.399999999999999" x14ac:dyDescent="0.3">
      <c r="A2" s="28" t="s">
        <v>93</v>
      </c>
      <c r="B2" s="86"/>
      <c r="C2" s="86"/>
    </row>
    <row r="4" spans="1:5" x14ac:dyDescent="0.25">
      <c r="A4" s="89" t="s">
        <v>96</v>
      </c>
      <c r="B4" s="89"/>
      <c r="C4" s="89"/>
      <c r="D4" s="87"/>
      <c r="E4" s="87"/>
    </row>
    <row r="5" spans="1:5" x14ac:dyDescent="0.25">
      <c r="A5" s="87" t="s">
        <v>94</v>
      </c>
      <c r="B5" s="87"/>
      <c r="C5" s="87"/>
      <c r="D5" s="87"/>
      <c r="E5" s="87"/>
    </row>
    <row r="6" spans="1:5" x14ac:dyDescent="0.25">
      <c r="A6" s="87" t="s">
        <v>95</v>
      </c>
      <c r="B6" s="87"/>
      <c r="C6" s="87"/>
      <c r="D6" s="87"/>
      <c r="E6" s="88" t="s">
        <v>97</v>
      </c>
    </row>
    <row r="7" spans="1:5" x14ac:dyDescent="0.25">
      <c r="A7" s="87"/>
      <c r="B7" s="87"/>
      <c r="C7" s="87"/>
      <c r="D7" s="87"/>
      <c r="E7" s="87"/>
    </row>
    <row r="8" spans="1:5" x14ac:dyDescent="0.25">
      <c r="A8" s="87" t="s">
        <v>98</v>
      </c>
      <c r="B8" s="87"/>
      <c r="C8" s="87"/>
      <c r="D8" s="87"/>
      <c r="E8" s="88" t="s">
        <v>99</v>
      </c>
    </row>
    <row r="9" spans="1:5" x14ac:dyDescent="0.25">
      <c r="A9" s="87"/>
      <c r="B9" s="87"/>
      <c r="C9" s="87"/>
      <c r="D9" s="87"/>
      <c r="E9" s="87"/>
    </row>
    <row r="10" spans="1:5" x14ac:dyDescent="0.25">
      <c r="A10" s="87" t="s">
        <v>100</v>
      </c>
      <c r="B10" s="87"/>
      <c r="C10" s="87"/>
      <c r="D10" s="87"/>
      <c r="E10" s="88" t="s">
        <v>101</v>
      </c>
    </row>
    <row r="11" spans="1:5" x14ac:dyDescent="0.25">
      <c r="A11" s="87"/>
      <c r="B11" s="87"/>
      <c r="C11" s="87"/>
      <c r="D11" s="87"/>
      <c r="E11" s="87"/>
    </row>
    <row r="20" spans="9:16" ht="17.399999999999999" x14ac:dyDescent="0.3">
      <c r="I20" s="28" t="s">
        <v>72</v>
      </c>
      <c r="J20" s="27"/>
      <c r="O20" s="28" t="s">
        <v>73</v>
      </c>
      <c r="P20" s="27"/>
    </row>
    <row r="22" spans="9:16" x14ac:dyDescent="0.25">
      <c r="I22" s="2" t="s">
        <v>3</v>
      </c>
      <c r="J22" s="3">
        <v>4.9099999999999998E-2</v>
      </c>
      <c r="O22">
        <f>5*12</f>
        <v>60</v>
      </c>
      <c r="P22" t="s">
        <v>74</v>
      </c>
    </row>
    <row r="23" spans="9:16" x14ac:dyDescent="0.25">
      <c r="I23" s="2" t="s">
        <v>6</v>
      </c>
      <c r="J23" s="6">
        <f>(1+J22)^(1/12)-1</f>
        <v>4.002376012389508E-3</v>
      </c>
    </row>
    <row r="24" spans="9:16" x14ac:dyDescent="0.25">
      <c r="I24" s="2" t="s">
        <v>9</v>
      </c>
      <c r="J24" s="1">
        <v>24</v>
      </c>
      <c r="P24" s="16">
        <f>PMT(J23,O22,,J26)</f>
        <v>-2372.2533526513366</v>
      </c>
    </row>
    <row r="25" spans="9:16" x14ac:dyDescent="0.25">
      <c r="I25" s="2" t="s">
        <v>12</v>
      </c>
      <c r="J25" s="8">
        <v>7000</v>
      </c>
    </row>
    <row r="26" spans="9:16" x14ac:dyDescent="0.25">
      <c r="I26" s="2" t="s">
        <v>16</v>
      </c>
      <c r="J26" s="11">
        <f>PV(J23,J24,-J25,,1)</f>
        <v>160518.74847101956</v>
      </c>
    </row>
    <row r="50" spans="9:15" x14ac:dyDescent="0.25">
      <c r="I50" s="29" t="s">
        <v>0</v>
      </c>
      <c r="J50" s="29">
        <v>50000</v>
      </c>
    </row>
    <row r="51" spans="9:15" x14ac:dyDescent="0.25">
      <c r="I51" s="29" t="s">
        <v>4</v>
      </c>
      <c r="J51" s="30">
        <v>0.12</v>
      </c>
      <c r="M51" s="24" t="s">
        <v>75</v>
      </c>
      <c r="N51" s="24">
        <v>1</v>
      </c>
      <c r="O51" s="24">
        <v>0</v>
      </c>
    </row>
    <row r="52" spans="9:15" x14ac:dyDescent="0.25">
      <c r="I52" s="29" t="s">
        <v>7</v>
      </c>
      <c r="J52" s="31">
        <f>J51/12</f>
        <v>0.01</v>
      </c>
      <c r="M52" s="16">
        <f>FV(J52,J53,,-O52)</f>
        <v>55231.106270560238</v>
      </c>
      <c r="O52">
        <f>J50</f>
        <v>50000</v>
      </c>
    </row>
    <row r="53" spans="9:15" ht="14.4" thickBot="1" x14ac:dyDescent="0.3">
      <c r="I53" s="29" t="s">
        <v>9</v>
      </c>
      <c r="J53" s="29">
        <v>10</v>
      </c>
      <c r="M53" s="34">
        <f>J55</f>
        <v>1200</v>
      </c>
      <c r="O53" s="34">
        <f>-J54</f>
        <v>-1000</v>
      </c>
    </row>
    <row r="54" spans="9:15" ht="14.4" thickTop="1" x14ac:dyDescent="0.25">
      <c r="I54" s="29" t="s">
        <v>13</v>
      </c>
      <c r="J54" s="32">
        <v>1000</v>
      </c>
      <c r="M54" s="4">
        <f t="shared" ref="M54:N54" si="0">M52+M53</f>
        <v>56431.106270560238</v>
      </c>
      <c r="N54" s="4">
        <f t="shared" si="0"/>
        <v>0</v>
      </c>
      <c r="O54" s="4">
        <f>O52+O53</f>
        <v>49000</v>
      </c>
    </row>
    <row r="55" spans="9:15" x14ac:dyDescent="0.25">
      <c r="I55" s="29" t="s">
        <v>17</v>
      </c>
      <c r="J55" s="32">
        <v>1200</v>
      </c>
    </row>
    <row r="56" spans="9:15" x14ac:dyDescent="0.25">
      <c r="I56" s="29" t="s">
        <v>19</v>
      </c>
      <c r="J56" s="33"/>
      <c r="O56" s="13">
        <f>RATE(J53,,-O54,M54)</f>
        <v>1.4220182191441624E-2</v>
      </c>
    </row>
    <row r="57" spans="9:15" x14ac:dyDescent="0.25">
      <c r="I57" s="29"/>
      <c r="J57" s="29"/>
    </row>
    <row r="58" spans="9:15" x14ac:dyDescent="0.25">
      <c r="I58" s="29" t="s">
        <v>23</v>
      </c>
      <c r="J58" s="31">
        <f>(1+O56)^10-1</f>
        <v>0.15165523001143377</v>
      </c>
    </row>
    <row r="59" spans="9:15" x14ac:dyDescent="0.25">
      <c r="I59" s="29"/>
      <c r="J59" s="29"/>
    </row>
    <row r="60" spans="9:15" x14ac:dyDescent="0.25">
      <c r="I60" s="29" t="s">
        <v>25</v>
      </c>
      <c r="J60" s="35">
        <f>(1+O56)^12-1</f>
        <v>0.18464160472519242</v>
      </c>
    </row>
    <row r="122" spans="9:12" ht="15.6" x14ac:dyDescent="0.3">
      <c r="I122" s="37" t="s">
        <v>1</v>
      </c>
      <c r="K122" s="38" t="s">
        <v>2</v>
      </c>
      <c r="L122" s="36"/>
    </row>
    <row r="123" spans="9:12" x14ac:dyDescent="0.25">
      <c r="I123" s="2" t="s">
        <v>5</v>
      </c>
      <c r="J123" s="4">
        <v>200000</v>
      </c>
      <c r="K123" t="s">
        <v>5</v>
      </c>
      <c r="L123" s="5">
        <v>100000</v>
      </c>
    </row>
    <row r="124" spans="9:12" x14ac:dyDescent="0.25">
      <c r="I124" s="2" t="s">
        <v>4</v>
      </c>
      <c r="J124" s="7">
        <v>0.1</v>
      </c>
      <c r="K124" t="s">
        <v>8</v>
      </c>
      <c r="L124" s="5">
        <v>5000</v>
      </c>
    </row>
    <row r="125" spans="9:12" x14ac:dyDescent="0.25">
      <c r="I125" s="2" t="s">
        <v>10</v>
      </c>
      <c r="J125">
        <v>2</v>
      </c>
      <c r="K125" t="s">
        <v>11</v>
      </c>
      <c r="L125" s="1">
        <v>1</v>
      </c>
    </row>
    <row r="126" spans="9:12" x14ac:dyDescent="0.25">
      <c r="I126" s="2" t="s">
        <v>14</v>
      </c>
      <c r="J126">
        <f>5*2</f>
        <v>10</v>
      </c>
      <c r="K126" t="s">
        <v>15</v>
      </c>
      <c r="L126" s="1">
        <v>7</v>
      </c>
    </row>
    <row r="127" spans="9:12" x14ac:dyDescent="0.25">
      <c r="I127" s="2" t="s">
        <v>18</v>
      </c>
      <c r="J127" s="4">
        <v>250000</v>
      </c>
      <c r="L127" s="1"/>
    </row>
    <row r="128" spans="9:12" x14ac:dyDescent="0.25">
      <c r="I128" s="2" t="s">
        <v>20</v>
      </c>
      <c r="J128" s="4">
        <f>J123*J124/J125</f>
        <v>10000</v>
      </c>
      <c r="K128" t="s">
        <v>21</v>
      </c>
      <c r="L128" s="12">
        <f>PV(J130,L126,L124,L123)</f>
        <v>-103389.46533199727</v>
      </c>
    </row>
    <row r="129" spans="9:12" x14ac:dyDescent="0.25">
      <c r="I129" s="2" t="s">
        <v>22</v>
      </c>
      <c r="J129" s="13">
        <f>RATE(J126,J128,-J127,J123)</f>
        <v>2.1892127573485375E-2</v>
      </c>
      <c r="L129" s="1"/>
    </row>
    <row r="130" spans="9:12" ht="14.4" thickBot="1" x14ac:dyDescent="0.3">
      <c r="I130" s="9" t="s">
        <v>24</v>
      </c>
      <c r="J130" s="14">
        <f>(1+J129)^(2)-1</f>
        <v>4.4263520396664369E-2</v>
      </c>
      <c r="K130" s="15"/>
      <c r="L130" s="10"/>
    </row>
    <row r="159" spans="11:15" x14ac:dyDescent="0.25">
      <c r="L159">
        <v>4</v>
      </c>
      <c r="M159">
        <v>3</v>
      </c>
      <c r="N159">
        <v>2</v>
      </c>
      <c r="O159">
        <v>1</v>
      </c>
    </row>
    <row r="160" spans="11:15" x14ac:dyDescent="0.25">
      <c r="K160" s="13">
        <v>0.01</v>
      </c>
      <c r="L160" s="13">
        <f>RATE(1,,-K165,I165)</f>
        <v>4.1262886597937989E-2</v>
      </c>
      <c r="M160" s="13">
        <f>(1+M161)^12-1</f>
        <v>4.2818007198614838E-2</v>
      </c>
      <c r="N160" s="13">
        <f>RATE(1,,-N165,M165)</f>
        <v>4.1666666666666727E-2</v>
      </c>
      <c r="O160" s="39">
        <f>EFFECT(4%,4)</f>
        <v>4.0604010000000024E-2</v>
      </c>
    </row>
    <row r="161" spans="9:14" x14ac:dyDescent="0.25">
      <c r="K161" s="13">
        <f>K160/2</f>
        <v>5.0000000000000001E-3</v>
      </c>
      <c r="M161" s="13">
        <v>3.5000000000000001E-3</v>
      </c>
    </row>
    <row r="162" spans="9:14" x14ac:dyDescent="0.25">
      <c r="I162" s="24">
        <v>2</v>
      </c>
      <c r="J162" s="24">
        <v>1</v>
      </c>
      <c r="K162" s="24">
        <v>0</v>
      </c>
      <c r="M162">
        <v>1</v>
      </c>
      <c r="N162">
        <v>0</v>
      </c>
    </row>
    <row r="163" spans="9:14" x14ac:dyDescent="0.25">
      <c r="I163" s="41">
        <f>FV(K161,2,,-K163)</f>
        <v>101002.49999999997</v>
      </c>
      <c r="J163" s="24"/>
      <c r="K163" s="24">
        <f>N163</f>
        <v>100000</v>
      </c>
      <c r="M163">
        <f>N163</f>
        <v>100000</v>
      </c>
      <c r="N163">
        <v>100000</v>
      </c>
    </row>
    <row r="164" spans="9:14" ht="14.4" thickBot="1" x14ac:dyDescent="0.3">
      <c r="I164" s="42"/>
      <c r="J164" s="42"/>
      <c r="K164" s="42">
        <f>-0.03*K163</f>
        <v>-3000</v>
      </c>
      <c r="M164" s="40"/>
      <c r="N164" s="40">
        <f>-0.04*N163</f>
        <v>-4000</v>
      </c>
    </row>
    <row r="165" spans="9:14" ht="14.4" thickTop="1" x14ac:dyDescent="0.25">
      <c r="I165" s="24">
        <f t="shared" ref="I165:J165" si="1">I163+I164</f>
        <v>101002.49999999997</v>
      </c>
      <c r="J165" s="24">
        <f t="shared" si="1"/>
        <v>0</v>
      </c>
      <c r="K165" s="24">
        <f>K163+K164</f>
        <v>97000</v>
      </c>
      <c r="M165">
        <f>M163</f>
        <v>100000</v>
      </c>
      <c r="N165">
        <f>N163+N164</f>
        <v>96000</v>
      </c>
    </row>
    <row r="192" spans="9:11" x14ac:dyDescent="0.25">
      <c r="I192" s="29">
        <v>0</v>
      </c>
      <c r="J192" s="29"/>
      <c r="K192" s="29"/>
    </row>
    <row r="193" spans="9:11" x14ac:dyDescent="0.25">
      <c r="I193" s="29">
        <v>1</v>
      </c>
      <c r="J193" s="20">
        <v>-50000</v>
      </c>
      <c r="K193" s="29"/>
    </row>
    <row r="194" spans="9:11" x14ac:dyDescent="0.25">
      <c r="I194" s="29">
        <v>2</v>
      </c>
      <c r="J194" s="20"/>
      <c r="K194" s="29"/>
    </row>
    <row r="195" spans="9:11" x14ac:dyDescent="0.25">
      <c r="I195" s="29">
        <v>3</v>
      </c>
      <c r="J195" s="29"/>
      <c r="K195" s="29"/>
    </row>
    <row r="196" spans="9:11" x14ac:dyDescent="0.25">
      <c r="I196" s="29">
        <v>4</v>
      </c>
      <c r="J196" s="21" t="s">
        <v>76</v>
      </c>
      <c r="K196" s="29"/>
    </row>
    <row r="197" spans="9:11" x14ac:dyDescent="0.25">
      <c r="I197" s="29">
        <v>5</v>
      </c>
      <c r="J197" s="20">
        <v>200000</v>
      </c>
      <c r="K197" s="29"/>
    </row>
    <row r="198" spans="9:11" x14ac:dyDescent="0.25">
      <c r="I198" s="29"/>
      <c r="J198" s="29"/>
      <c r="K198" s="29"/>
    </row>
    <row r="199" spans="9:11" x14ac:dyDescent="0.25">
      <c r="I199" s="29" t="s">
        <v>3</v>
      </c>
      <c r="J199" s="30">
        <v>0.08</v>
      </c>
      <c r="K199" s="29"/>
    </row>
    <row r="200" spans="9:11" x14ac:dyDescent="0.25">
      <c r="I200" s="29"/>
      <c r="J200" s="29"/>
      <c r="K200" s="29"/>
    </row>
    <row r="201" spans="9:11" x14ac:dyDescent="0.25">
      <c r="I201" s="29" t="s">
        <v>33</v>
      </c>
      <c r="J201" s="33">
        <f>FV(J199,4,,J193)</f>
        <v>68024.448000000019</v>
      </c>
      <c r="K201" s="29" t="s">
        <v>34</v>
      </c>
    </row>
    <row r="202" spans="9:11" x14ac:dyDescent="0.25">
      <c r="I202" s="29" t="s">
        <v>35</v>
      </c>
      <c r="J202" s="43">
        <f>J197-J201</f>
        <v>131975.55199999997</v>
      </c>
      <c r="K202" s="29" t="s">
        <v>36</v>
      </c>
    </row>
    <row r="203" spans="9:11" x14ac:dyDescent="0.25">
      <c r="I203" s="29" t="s">
        <v>37</v>
      </c>
      <c r="J203" s="29"/>
      <c r="K203" s="29"/>
    </row>
    <row r="204" spans="9:11" x14ac:dyDescent="0.25">
      <c r="I204" s="29" t="s">
        <v>38</v>
      </c>
      <c r="J204" s="44">
        <f>PV(J199,1,,J202)</f>
        <v>-122199.58518518515</v>
      </c>
      <c r="K204" s="29"/>
    </row>
    <row r="230" spans="10:13" x14ac:dyDescent="0.25">
      <c r="J230" s="49" t="s">
        <v>27</v>
      </c>
      <c r="K230" s="48" t="s">
        <v>28</v>
      </c>
      <c r="L230" s="24"/>
    </row>
    <row r="231" spans="10:13" x14ac:dyDescent="0.25">
      <c r="J231" s="50">
        <v>-300</v>
      </c>
      <c r="K231" s="46">
        <v>-200</v>
      </c>
      <c r="L231" s="24" t="s">
        <v>29</v>
      </c>
    </row>
    <row r="232" spans="10:13" x14ac:dyDescent="0.25">
      <c r="J232" s="50">
        <v>322</v>
      </c>
      <c r="K232" s="24">
        <v>220</v>
      </c>
      <c r="L232" s="24" t="s">
        <v>30</v>
      </c>
    </row>
    <row r="234" spans="10:13" x14ac:dyDescent="0.25">
      <c r="J234" s="51">
        <f>NPV(M234,J232)-300</f>
        <v>-1.2987012987013031</v>
      </c>
      <c r="K234" s="51">
        <f>NPV(M234,K232)-200</f>
        <v>4.0816326530612059</v>
      </c>
      <c r="L234" t="s">
        <v>31</v>
      </c>
      <c r="M234" s="13">
        <v>7.8E-2</v>
      </c>
    </row>
    <row r="235" spans="10:13" x14ac:dyDescent="0.25">
      <c r="K235" s="17">
        <f>IRR(K231:K232)</f>
        <v>0.10000000000000009</v>
      </c>
      <c r="L235" s="24" t="s">
        <v>77</v>
      </c>
    </row>
    <row r="249" spans="19:31" x14ac:dyDescent="0.25">
      <c r="T249" t="s">
        <v>78</v>
      </c>
      <c r="Z249" t="s">
        <v>79</v>
      </c>
    </row>
    <row r="250" spans="19:31" x14ac:dyDescent="0.25">
      <c r="S250" s="52" t="s">
        <v>80</v>
      </c>
      <c r="Z250" s="52" t="s">
        <v>80</v>
      </c>
    </row>
    <row r="251" spans="19:31" x14ac:dyDescent="0.25">
      <c r="S251" s="45" t="s">
        <v>0</v>
      </c>
      <c r="T251" s="23">
        <f>AE285</f>
        <v>886520.48289406893</v>
      </c>
      <c r="U251" s="24" t="s">
        <v>16</v>
      </c>
      <c r="X251" s="4"/>
      <c r="Z251" s="2" t="s">
        <v>0</v>
      </c>
      <c r="AA251" s="4">
        <v>2000000</v>
      </c>
      <c r="AB251" t="s">
        <v>16</v>
      </c>
      <c r="AD251" s="13">
        <v>0.15390000000000001</v>
      </c>
      <c r="AE251" s="4"/>
    </row>
    <row r="252" spans="19:31" x14ac:dyDescent="0.25">
      <c r="S252" s="45" t="s">
        <v>58</v>
      </c>
      <c r="T252" s="24">
        <v>18</v>
      </c>
      <c r="U252" s="24" t="s">
        <v>81</v>
      </c>
      <c r="Z252" s="2" t="s">
        <v>9</v>
      </c>
      <c r="AA252">
        <f>4*12</f>
        <v>48</v>
      </c>
      <c r="AB252" t="s">
        <v>81</v>
      </c>
      <c r="AD252">
        <v>12</v>
      </c>
    </row>
    <row r="253" spans="19:31" x14ac:dyDescent="0.25">
      <c r="S253" s="45" t="s">
        <v>82</v>
      </c>
      <c r="T253" s="53">
        <f>(1+W253)^(1/12)-1</f>
        <v>1.200039289517818E-2</v>
      </c>
      <c r="U253" s="24" t="s">
        <v>83</v>
      </c>
      <c r="W253" s="53">
        <v>0.15390000000000001</v>
      </c>
      <c r="X253" s="13" t="s">
        <v>84</v>
      </c>
      <c r="Z253" s="2" t="s">
        <v>82</v>
      </c>
      <c r="AA253" s="53">
        <f>(1+AD251)^(1/AD252)-1</f>
        <v>1.200039289517818E-2</v>
      </c>
      <c r="AB253" t="s">
        <v>83</v>
      </c>
      <c r="AD253">
        <f>2.5*12</f>
        <v>30</v>
      </c>
      <c r="AE253" s="13"/>
    </row>
    <row r="254" spans="19:31" ht="14.4" thickBot="1" x14ac:dyDescent="0.3">
      <c r="S254" s="2"/>
      <c r="T254" s="24">
        <f>T251/T252</f>
        <v>49251.137938559383</v>
      </c>
      <c r="U254" s="24" t="s">
        <v>85</v>
      </c>
      <c r="Z254" s="2"/>
      <c r="AA254" s="54">
        <f>PMT(AA253,AA252,-AA251,,)</f>
        <v>55055.578875033927</v>
      </c>
      <c r="AB254" t="s">
        <v>26</v>
      </c>
    </row>
    <row r="255" spans="19:31" ht="14.4" thickBot="1" x14ac:dyDescent="0.3">
      <c r="S255" s="55" t="s">
        <v>86</v>
      </c>
      <c r="T255" s="55" t="s">
        <v>87</v>
      </c>
      <c r="U255" s="55" t="s">
        <v>88</v>
      </c>
      <c r="V255" s="55" t="s">
        <v>89</v>
      </c>
      <c r="W255" s="55" t="s">
        <v>90</v>
      </c>
      <c r="X255" s="56" t="s">
        <v>91</v>
      </c>
      <c r="Z255" s="57" t="s">
        <v>86</v>
      </c>
      <c r="AA255" s="57" t="s">
        <v>87</v>
      </c>
      <c r="AB255" s="57" t="s">
        <v>88</v>
      </c>
      <c r="AC255" s="57" t="s">
        <v>89</v>
      </c>
      <c r="AD255" s="57" t="s">
        <v>90</v>
      </c>
      <c r="AE255" s="57" t="s">
        <v>91</v>
      </c>
    </row>
    <row r="256" spans="19:31" ht="14.4" thickBot="1" x14ac:dyDescent="0.3">
      <c r="S256" s="58">
        <v>1</v>
      </c>
      <c r="T256" s="59">
        <f>T251</f>
        <v>886520.48289406893</v>
      </c>
      <c r="U256" s="59">
        <f>$T$254</f>
        <v>49251.137938559383</v>
      </c>
      <c r="V256" s="59">
        <f>$T$253*T256</f>
        <v>10638.594104351914</v>
      </c>
      <c r="W256" s="59">
        <f>V256+U256</f>
        <v>59889.732042911295</v>
      </c>
      <c r="X256" s="59">
        <f>T256-U256</f>
        <v>837269.34495550953</v>
      </c>
      <c r="Y256" s="24">
        <v>31</v>
      </c>
      <c r="Z256" s="60">
        <v>1</v>
      </c>
      <c r="AA256" s="61">
        <f>AA251</f>
        <v>2000000</v>
      </c>
      <c r="AB256" s="59">
        <f>AD256-AC256</f>
        <v>31054.793084677567</v>
      </c>
      <c r="AC256" s="59">
        <f>$AA$253*AA256</f>
        <v>24000.78579035636</v>
      </c>
      <c r="AD256" s="62">
        <f>$AA$254</f>
        <v>55055.578875033927</v>
      </c>
      <c r="AE256" s="59">
        <f>AA256-AB256</f>
        <v>1968945.2069153225</v>
      </c>
    </row>
    <row r="257" spans="19:31" ht="14.4" thickBot="1" x14ac:dyDescent="0.3">
      <c r="S257" s="58">
        <v>2</v>
      </c>
      <c r="T257" s="59">
        <f>X256</f>
        <v>837269.34495550953</v>
      </c>
      <c r="U257" s="59">
        <f t="shared" ref="U257:U273" si="2">$T$254</f>
        <v>49251.137938559383</v>
      </c>
      <c r="V257" s="59">
        <f t="shared" ref="V257:V273" si="3">$T$253*T257</f>
        <v>10047.561098554586</v>
      </c>
      <c r="W257" s="59">
        <f t="shared" ref="W257:W270" si="4">V257+U257</f>
        <v>59298.699037113969</v>
      </c>
      <c r="X257" s="59">
        <f t="shared" ref="X257:X270" si="5">T257-U257</f>
        <v>788018.20701695012</v>
      </c>
      <c r="Y257" s="24">
        <v>32</v>
      </c>
      <c r="Z257" s="60">
        <v>2</v>
      </c>
      <c r="AA257" s="59">
        <f>AE256</f>
        <v>1968945.2069153225</v>
      </c>
      <c r="AB257" s="59">
        <f t="shared" ref="AB257:AB303" si="6">AD257-AC257</f>
        <v>31427.462802972161</v>
      </c>
      <c r="AC257" s="59">
        <f t="shared" ref="AC257:AC303" si="7">$AA$253*AA257</f>
        <v>23628.116072061766</v>
      </c>
      <c r="AD257" s="62">
        <f t="shared" ref="AD257:AD303" si="8">$AA$254</f>
        <v>55055.578875033927</v>
      </c>
      <c r="AE257" s="59">
        <f t="shared" ref="AE257:AE303" si="9">AA257-AB257</f>
        <v>1937517.7441123503</v>
      </c>
    </row>
    <row r="258" spans="19:31" ht="14.4" thickBot="1" x14ac:dyDescent="0.3">
      <c r="S258" s="58">
        <v>3</v>
      </c>
      <c r="T258" s="59">
        <f t="shared" ref="T258:T270" si="10">X257</f>
        <v>788018.20701695012</v>
      </c>
      <c r="U258" s="59">
        <f t="shared" si="2"/>
        <v>49251.137938559383</v>
      </c>
      <c r="V258" s="59">
        <f t="shared" si="3"/>
        <v>9456.5280927572567</v>
      </c>
      <c r="W258" s="59">
        <f t="shared" si="4"/>
        <v>58707.666031316636</v>
      </c>
      <c r="X258" s="59">
        <f t="shared" si="5"/>
        <v>738767.06907839072</v>
      </c>
      <c r="Y258" s="24">
        <v>33</v>
      </c>
      <c r="Z258" s="60">
        <v>3</v>
      </c>
      <c r="AA258" s="59">
        <f t="shared" ref="AA258:AA303" si="11">AE257</f>
        <v>1937517.7441123503</v>
      </c>
      <c r="AB258" s="59">
        <f t="shared" si="6"/>
        <v>31804.604704306425</v>
      </c>
      <c r="AC258" s="59">
        <f t="shared" si="7"/>
        <v>23250.974170727502</v>
      </c>
      <c r="AD258" s="62">
        <f t="shared" si="8"/>
        <v>55055.578875033927</v>
      </c>
      <c r="AE258" s="59">
        <f t="shared" si="9"/>
        <v>1905713.1394080438</v>
      </c>
    </row>
    <row r="259" spans="19:31" ht="14.4" thickBot="1" x14ac:dyDescent="0.3">
      <c r="S259" s="58">
        <v>4</v>
      </c>
      <c r="T259" s="59">
        <f t="shared" si="10"/>
        <v>738767.06907839072</v>
      </c>
      <c r="U259" s="59">
        <f t="shared" si="2"/>
        <v>49251.137938559383</v>
      </c>
      <c r="V259" s="59">
        <f t="shared" si="3"/>
        <v>8865.495086959927</v>
      </c>
      <c r="W259" s="59">
        <f t="shared" si="4"/>
        <v>58116.63302551931</v>
      </c>
      <c r="X259" s="59">
        <f t="shared" si="5"/>
        <v>689515.93113983131</v>
      </c>
      <c r="Y259" s="24">
        <v>34</v>
      </c>
      <c r="Z259" s="60">
        <v>4</v>
      </c>
      <c r="AA259" s="59">
        <f t="shared" si="11"/>
        <v>1905713.1394080438</v>
      </c>
      <c r="AB259" s="59">
        <f t="shared" si="6"/>
        <v>32186.272456633935</v>
      </c>
      <c r="AC259" s="59">
        <f t="shared" si="7"/>
        <v>22869.306418399992</v>
      </c>
      <c r="AD259" s="62">
        <f t="shared" si="8"/>
        <v>55055.578875033927</v>
      </c>
      <c r="AE259" s="59">
        <f t="shared" si="9"/>
        <v>1873526.86695141</v>
      </c>
    </row>
    <row r="260" spans="19:31" ht="14.4" thickBot="1" x14ac:dyDescent="0.3">
      <c r="S260" s="58">
        <v>5</v>
      </c>
      <c r="T260" s="59">
        <f t="shared" si="10"/>
        <v>689515.93113983131</v>
      </c>
      <c r="U260" s="59">
        <f t="shared" si="2"/>
        <v>49251.137938559383</v>
      </c>
      <c r="V260" s="59">
        <f t="shared" si="3"/>
        <v>8274.4620811625991</v>
      </c>
      <c r="W260" s="59">
        <f t="shared" si="4"/>
        <v>57525.600019721984</v>
      </c>
      <c r="X260" s="59">
        <f t="shared" si="5"/>
        <v>640264.79320127191</v>
      </c>
      <c r="Y260" s="24">
        <v>35</v>
      </c>
      <c r="Z260" s="60">
        <v>5</v>
      </c>
      <c r="AA260" s="59">
        <f t="shared" si="11"/>
        <v>1873526.86695141</v>
      </c>
      <c r="AB260" s="59">
        <f t="shared" si="6"/>
        <v>32572.520371944793</v>
      </c>
      <c r="AC260" s="59">
        <f t="shared" si="7"/>
        <v>22483.058503089134</v>
      </c>
      <c r="AD260" s="62">
        <f t="shared" si="8"/>
        <v>55055.578875033927</v>
      </c>
      <c r="AE260" s="59">
        <f t="shared" si="9"/>
        <v>1840954.3465794651</v>
      </c>
    </row>
    <row r="261" spans="19:31" ht="14.4" thickBot="1" x14ac:dyDescent="0.3">
      <c r="S261" s="58">
        <v>6</v>
      </c>
      <c r="T261" s="59">
        <f t="shared" si="10"/>
        <v>640264.79320127191</v>
      </c>
      <c r="U261" s="59">
        <f t="shared" si="2"/>
        <v>49251.137938559383</v>
      </c>
      <c r="V261" s="59">
        <f t="shared" si="3"/>
        <v>7683.4290753652704</v>
      </c>
      <c r="W261" s="59">
        <f t="shared" si="4"/>
        <v>56934.56701392465</v>
      </c>
      <c r="X261" s="59">
        <f t="shared" si="5"/>
        <v>591013.65526271251</v>
      </c>
      <c r="Y261" s="24">
        <v>36</v>
      </c>
      <c r="Z261" s="60">
        <v>6</v>
      </c>
      <c r="AA261" s="59">
        <f t="shared" si="11"/>
        <v>1840954.3465794651</v>
      </c>
      <c r="AB261" s="59">
        <f t="shared" si="6"/>
        <v>32963.403413994325</v>
      </c>
      <c r="AC261" s="59">
        <f t="shared" si="7"/>
        <v>22092.175461039602</v>
      </c>
      <c r="AD261" s="62">
        <f t="shared" si="8"/>
        <v>55055.578875033927</v>
      </c>
      <c r="AE261" s="59">
        <f t="shared" si="9"/>
        <v>1807990.9431654708</v>
      </c>
    </row>
    <row r="262" spans="19:31" ht="14.4" thickBot="1" x14ac:dyDescent="0.3">
      <c r="S262" s="58">
        <v>7</v>
      </c>
      <c r="T262" s="59">
        <f t="shared" si="10"/>
        <v>591013.65526271251</v>
      </c>
      <c r="U262" s="59">
        <f t="shared" si="2"/>
        <v>49251.137938559383</v>
      </c>
      <c r="V262" s="59">
        <f t="shared" si="3"/>
        <v>7092.3960695679416</v>
      </c>
      <c r="W262" s="59">
        <f t="shared" si="4"/>
        <v>56343.534008127324</v>
      </c>
      <c r="X262" s="59">
        <f t="shared" si="5"/>
        <v>541762.5173241531</v>
      </c>
      <c r="Y262" s="24">
        <v>37</v>
      </c>
      <c r="Z262" s="60">
        <v>7</v>
      </c>
      <c r="AA262" s="59">
        <f t="shared" si="11"/>
        <v>1807990.9431654708</v>
      </c>
      <c r="AB262" s="59">
        <f t="shared" si="6"/>
        <v>33358.977206124517</v>
      </c>
      <c r="AC262" s="59">
        <f t="shared" si="7"/>
        <v>21696.601668909414</v>
      </c>
      <c r="AD262" s="62">
        <f t="shared" si="8"/>
        <v>55055.578875033927</v>
      </c>
      <c r="AE262" s="59">
        <f t="shared" si="9"/>
        <v>1774631.9659593464</v>
      </c>
    </row>
    <row r="263" spans="19:31" ht="14.4" thickBot="1" x14ac:dyDescent="0.3">
      <c r="S263" s="58">
        <v>8</v>
      </c>
      <c r="T263" s="59">
        <f t="shared" si="10"/>
        <v>541762.5173241531</v>
      </c>
      <c r="U263" s="59">
        <f t="shared" si="2"/>
        <v>49251.137938559383</v>
      </c>
      <c r="V263" s="59">
        <f t="shared" si="3"/>
        <v>6501.3630637706128</v>
      </c>
      <c r="W263" s="59">
        <f t="shared" si="4"/>
        <v>55752.501002329998</v>
      </c>
      <c r="X263" s="59">
        <f t="shared" si="5"/>
        <v>492511.3793855937</v>
      </c>
      <c r="Y263" s="24">
        <v>38</v>
      </c>
      <c r="Z263" s="60">
        <v>8</v>
      </c>
      <c r="AA263" s="59">
        <f t="shared" si="11"/>
        <v>1774631.9659593464</v>
      </c>
      <c r="AB263" s="63">
        <f t="shared" si="6"/>
        <v>33759.298039179295</v>
      </c>
      <c r="AC263" s="59">
        <f t="shared" si="7"/>
        <v>21296.280835854628</v>
      </c>
      <c r="AD263" s="62">
        <f t="shared" si="8"/>
        <v>55055.578875033927</v>
      </c>
      <c r="AE263" s="59">
        <f t="shared" si="9"/>
        <v>1740872.6679201671</v>
      </c>
    </row>
    <row r="264" spans="19:31" ht="14.4" thickBot="1" x14ac:dyDescent="0.3">
      <c r="S264" s="58">
        <v>9</v>
      </c>
      <c r="T264" s="59">
        <f t="shared" si="10"/>
        <v>492511.3793855937</v>
      </c>
      <c r="U264" s="59">
        <f t="shared" si="2"/>
        <v>49251.137938559383</v>
      </c>
      <c r="V264" s="59">
        <f t="shared" si="3"/>
        <v>5910.3300579732841</v>
      </c>
      <c r="W264" s="59">
        <f t="shared" si="4"/>
        <v>55161.467996532665</v>
      </c>
      <c r="X264" s="59">
        <f t="shared" si="5"/>
        <v>443260.24144703429</v>
      </c>
      <c r="Y264" s="24">
        <v>39</v>
      </c>
      <c r="Z264" s="60">
        <v>9</v>
      </c>
      <c r="AA264" s="59">
        <f t="shared" si="11"/>
        <v>1740872.6679201671</v>
      </c>
      <c r="AB264" s="59">
        <f t="shared" si="6"/>
        <v>34164.422879514867</v>
      </c>
      <c r="AC264" s="59">
        <f t="shared" si="7"/>
        <v>20891.155995519057</v>
      </c>
      <c r="AD264" s="62">
        <f t="shared" si="8"/>
        <v>55055.578875033927</v>
      </c>
      <c r="AE264" s="59">
        <f t="shared" si="9"/>
        <v>1706708.2450406523</v>
      </c>
    </row>
    <row r="265" spans="19:31" ht="14.4" thickBot="1" x14ac:dyDescent="0.3">
      <c r="S265" s="58">
        <v>10</v>
      </c>
      <c r="T265" s="59">
        <f t="shared" si="10"/>
        <v>443260.24144703429</v>
      </c>
      <c r="U265" s="59">
        <f t="shared" si="2"/>
        <v>49251.137938559383</v>
      </c>
      <c r="V265" s="59">
        <f t="shared" si="3"/>
        <v>5319.2970521759553</v>
      </c>
      <c r="W265" s="59">
        <f t="shared" si="4"/>
        <v>54570.434990735339</v>
      </c>
      <c r="X265" s="59">
        <f t="shared" si="5"/>
        <v>394009.10350847489</v>
      </c>
      <c r="Y265" s="24">
        <v>40</v>
      </c>
      <c r="Z265" s="60">
        <v>10</v>
      </c>
      <c r="AA265" s="59">
        <f t="shared" si="11"/>
        <v>1706708.2450406523</v>
      </c>
      <c r="AB265" s="59">
        <f t="shared" si="6"/>
        <v>34574.409377106058</v>
      </c>
      <c r="AC265" s="59">
        <f t="shared" si="7"/>
        <v>20481.169497927865</v>
      </c>
      <c r="AD265" s="62">
        <f t="shared" si="8"/>
        <v>55055.578875033927</v>
      </c>
      <c r="AE265" s="59">
        <f t="shared" si="9"/>
        <v>1672133.8356635463</v>
      </c>
    </row>
    <row r="266" spans="19:31" ht="14.4" thickBot="1" x14ac:dyDescent="0.3">
      <c r="S266" s="58">
        <v>11</v>
      </c>
      <c r="T266" s="59">
        <f t="shared" si="10"/>
        <v>394009.10350847489</v>
      </c>
      <c r="U266" s="59">
        <f t="shared" si="2"/>
        <v>49251.137938559383</v>
      </c>
      <c r="V266" s="59">
        <f t="shared" si="3"/>
        <v>4728.2640463786265</v>
      </c>
      <c r="W266" s="59">
        <f t="shared" si="4"/>
        <v>53979.401984938013</v>
      </c>
      <c r="X266" s="59">
        <f t="shared" si="5"/>
        <v>344757.96556991548</v>
      </c>
      <c r="Y266" s="24">
        <v>41</v>
      </c>
      <c r="Z266" s="60">
        <v>11</v>
      </c>
      <c r="AA266" s="59">
        <f t="shared" si="11"/>
        <v>1672133.8356635463</v>
      </c>
      <c r="AB266" s="59">
        <f t="shared" si="6"/>
        <v>34989.315873750063</v>
      </c>
      <c r="AC266" s="59">
        <f t="shared" si="7"/>
        <v>20066.26300128386</v>
      </c>
      <c r="AD266" s="62">
        <f t="shared" si="8"/>
        <v>55055.578875033927</v>
      </c>
      <c r="AE266" s="59">
        <f t="shared" si="9"/>
        <v>1637144.5197897963</v>
      </c>
    </row>
    <row r="267" spans="19:31" ht="14.4" thickBot="1" x14ac:dyDescent="0.3">
      <c r="S267" s="58">
        <v>12</v>
      </c>
      <c r="T267" s="59">
        <f t="shared" si="10"/>
        <v>344757.96556991548</v>
      </c>
      <c r="U267" s="59">
        <f t="shared" si="2"/>
        <v>49251.137938559383</v>
      </c>
      <c r="V267" s="59">
        <f t="shared" si="3"/>
        <v>4137.2310405812977</v>
      </c>
      <c r="W267" s="59">
        <f t="shared" si="4"/>
        <v>53388.36897914068</v>
      </c>
      <c r="X267" s="59">
        <f t="shared" si="5"/>
        <v>295506.82763135608</v>
      </c>
      <c r="Y267" s="24">
        <v>42</v>
      </c>
      <c r="Z267" s="60">
        <v>12</v>
      </c>
      <c r="AA267" s="59">
        <f t="shared" si="11"/>
        <v>1637144.5197897963</v>
      </c>
      <c r="AB267" s="59">
        <f t="shared" si="6"/>
        <v>35409.201411368558</v>
      </c>
      <c r="AC267" s="59">
        <f t="shared" si="7"/>
        <v>19646.377463665365</v>
      </c>
      <c r="AD267" s="62">
        <f t="shared" si="8"/>
        <v>55055.578875033927</v>
      </c>
      <c r="AE267" s="59">
        <f t="shared" si="9"/>
        <v>1601735.3183784278</v>
      </c>
    </row>
    <row r="268" spans="19:31" ht="14.4" thickBot="1" x14ac:dyDescent="0.3">
      <c r="S268" s="58">
        <v>13</v>
      </c>
      <c r="T268" s="59">
        <f t="shared" si="10"/>
        <v>295506.82763135608</v>
      </c>
      <c r="U268" s="59">
        <f t="shared" si="2"/>
        <v>49251.137938559383</v>
      </c>
      <c r="V268" s="59">
        <f t="shared" si="3"/>
        <v>3546.1980347839685</v>
      </c>
      <c r="W268" s="59">
        <f t="shared" si="4"/>
        <v>52797.335973343354</v>
      </c>
      <c r="X268" s="59">
        <f t="shared" si="5"/>
        <v>246255.6896927967</v>
      </c>
      <c r="Y268" s="24">
        <v>43</v>
      </c>
      <c r="Z268" s="60">
        <v>13</v>
      </c>
      <c r="AA268" s="59">
        <f t="shared" si="11"/>
        <v>1601735.3183784278</v>
      </c>
      <c r="AB268" s="59">
        <f t="shared" si="6"/>
        <v>35834.125740409479</v>
      </c>
      <c r="AC268" s="59">
        <f t="shared" si="7"/>
        <v>19221.453134624444</v>
      </c>
      <c r="AD268" s="62">
        <f t="shared" si="8"/>
        <v>55055.578875033927</v>
      </c>
      <c r="AE268" s="59">
        <f t="shared" si="9"/>
        <v>1565901.1926380182</v>
      </c>
    </row>
    <row r="269" spans="19:31" ht="14.4" thickBot="1" x14ac:dyDescent="0.3">
      <c r="S269" s="58">
        <v>14</v>
      </c>
      <c r="T269" s="59">
        <f t="shared" si="10"/>
        <v>246255.6896927967</v>
      </c>
      <c r="U269" s="59">
        <f t="shared" si="2"/>
        <v>49251.137938559383</v>
      </c>
      <c r="V269" s="59">
        <f t="shared" si="3"/>
        <v>2955.1650289866402</v>
      </c>
      <c r="W269" s="59">
        <f t="shared" si="4"/>
        <v>52206.30296754602</v>
      </c>
      <c r="X269" s="59">
        <f t="shared" si="5"/>
        <v>197004.55175423733</v>
      </c>
      <c r="Y269" s="24">
        <v>44</v>
      </c>
      <c r="Z269" s="60">
        <v>14</v>
      </c>
      <c r="AA269" s="59">
        <f t="shared" si="11"/>
        <v>1565901.1926380182</v>
      </c>
      <c r="AB269" s="59">
        <f t="shared" si="6"/>
        <v>36264.149328349617</v>
      </c>
      <c r="AC269" s="59">
        <f t="shared" si="7"/>
        <v>18791.42954668431</v>
      </c>
      <c r="AD269" s="62">
        <f t="shared" si="8"/>
        <v>55055.578875033927</v>
      </c>
      <c r="AE269" s="59">
        <f t="shared" si="9"/>
        <v>1529637.0433096685</v>
      </c>
    </row>
    <row r="270" spans="19:31" ht="14.4" thickBot="1" x14ac:dyDescent="0.3">
      <c r="S270" s="58">
        <v>15</v>
      </c>
      <c r="T270" s="59">
        <f t="shared" si="10"/>
        <v>197004.55175423733</v>
      </c>
      <c r="U270" s="59">
        <f t="shared" si="2"/>
        <v>49251.137938559383</v>
      </c>
      <c r="V270" s="59">
        <f t="shared" si="3"/>
        <v>2364.1320231893119</v>
      </c>
      <c r="W270" s="59">
        <f t="shared" si="4"/>
        <v>51615.269961748694</v>
      </c>
      <c r="X270" s="59">
        <f t="shared" si="5"/>
        <v>147753.41381567795</v>
      </c>
      <c r="Y270" s="24">
        <v>45</v>
      </c>
      <c r="Z270" s="60">
        <v>15</v>
      </c>
      <c r="AA270" s="59">
        <f t="shared" si="11"/>
        <v>1529637.0433096685</v>
      </c>
      <c r="AB270" s="59">
        <f t="shared" si="6"/>
        <v>36699.333368299223</v>
      </c>
      <c r="AC270" s="59">
        <f t="shared" si="7"/>
        <v>18356.245506734704</v>
      </c>
      <c r="AD270" s="62">
        <f t="shared" si="8"/>
        <v>55055.578875033927</v>
      </c>
      <c r="AE270" s="59">
        <f t="shared" si="9"/>
        <v>1492937.7099413692</v>
      </c>
    </row>
    <row r="271" spans="19:31" ht="14.4" thickBot="1" x14ac:dyDescent="0.3">
      <c r="S271" s="58">
        <v>16</v>
      </c>
      <c r="T271" s="59">
        <f t="shared" ref="T271:T273" si="12">X270</f>
        <v>147753.41381567795</v>
      </c>
      <c r="U271" s="59">
        <f t="shared" si="2"/>
        <v>49251.137938559383</v>
      </c>
      <c r="V271" s="59">
        <f t="shared" si="3"/>
        <v>1773.0990173919834</v>
      </c>
      <c r="W271" s="59">
        <f t="shared" ref="W271:W273" si="13">V271+U271</f>
        <v>51024.236955951368</v>
      </c>
      <c r="X271" s="59">
        <f t="shared" ref="X271:X273" si="14">T271-U271</f>
        <v>98502.275877118576</v>
      </c>
      <c r="Y271" s="24">
        <v>46</v>
      </c>
      <c r="Z271" s="60">
        <v>16</v>
      </c>
      <c r="AA271" s="59">
        <f t="shared" si="11"/>
        <v>1492937.7099413692</v>
      </c>
      <c r="AB271" s="59">
        <f t="shared" si="6"/>
        <v>37139.739787709936</v>
      </c>
      <c r="AC271" s="59">
        <f t="shared" si="7"/>
        <v>17915.839087323991</v>
      </c>
      <c r="AD271" s="62">
        <f t="shared" si="8"/>
        <v>55055.578875033927</v>
      </c>
      <c r="AE271" s="59">
        <f t="shared" si="9"/>
        <v>1455797.9701536593</v>
      </c>
    </row>
    <row r="272" spans="19:31" ht="14.4" thickBot="1" x14ac:dyDescent="0.3">
      <c r="S272" s="58">
        <v>17</v>
      </c>
      <c r="T272" s="59">
        <f t="shared" si="12"/>
        <v>98502.275877118576</v>
      </c>
      <c r="U272" s="59">
        <f t="shared" si="2"/>
        <v>49251.137938559383</v>
      </c>
      <c r="V272" s="59">
        <f t="shared" si="3"/>
        <v>1182.0660115946548</v>
      </c>
      <c r="W272" s="59">
        <f t="shared" si="13"/>
        <v>50433.203950154035</v>
      </c>
      <c r="X272" s="59">
        <f t="shared" si="14"/>
        <v>49251.137938559194</v>
      </c>
      <c r="Y272" s="24">
        <v>47</v>
      </c>
      <c r="Z272" s="60">
        <v>17</v>
      </c>
      <c r="AA272" s="59">
        <f t="shared" si="11"/>
        <v>1455797.9701536593</v>
      </c>
      <c r="AB272" s="59">
        <f t="shared" si="6"/>
        <v>37585.431257187141</v>
      </c>
      <c r="AC272" s="59">
        <f t="shared" si="7"/>
        <v>17470.147617846789</v>
      </c>
      <c r="AD272" s="62">
        <f t="shared" si="8"/>
        <v>55055.578875033927</v>
      </c>
      <c r="AE272" s="59">
        <f t="shared" si="9"/>
        <v>1418212.5388964722</v>
      </c>
    </row>
    <row r="273" spans="19:31" ht="14.4" thickBot="1" x14ac:dyDescent="0.3">
      <c r="S273" s="58">
        <v>18</v>
      </c>
      <c r="T273" s="59">
        <f t="shared" si="12"/>
        <v>49251.137938559194</v>
      </c>
      <c r="U273" s="59">
        <f t="shared" si="2"/>
        <v>49251.137938559383</v>
      </c>
      <c r="V273" s="59">
        <f t="shared" si="3"/>
        <v>591.03300579732627</v>
      </c>
      <c r="W273" s="59">
        <f t="shared" si="13"/>
        <v>49842.170944356709</v>
      </c>
      <c r="X273" s="59">
        <f t="shared" si="14"/>
        <v>-1.8917489796876907E-10</v>
      </c>
      <c r="Y273" s="24">
        <v>48</v>
      </c>
      <c r="Z273" s="60">
        <v>18</v>
      </c>
      <c r="AA273" s="59">
        <f t="shared" si="11"/>
        <v>1418212.5388964722</v>
      </c>
      <c r="AB273" s="59">
        <f t="shared" si="6"/>
        <v>38036.471199408094</v>
      </c>
      <c r="AC273" s="59">
        <f t="shared" si="7"/>
        <v>17019.107675625834</v>
      </c>
      <c r="AD273" s="62">
        <f t="shared" si="8"/>
        <v>55055.578875033927</v>
      </c>
      <c r="AE273" s="59">
        <f t="shared" si="9"/>
        <v>1380176.067697064</v>
      </c>
    </row>
    <row r="274" spans="19:31" ht="14.4" thickBot="1" x14ac:dyDescent="0.3">
      <c r="Y274" s="24">
        <v>19</v>
      </c>
      <c r="Z274" s="60">
        <v>19</v>
      </c>
      <c r="AA274" s="59">
        <f t="shared" si="11"/>
        <v>1380176.067697064</v>
      </c>
      <c r="AB274" s="59">
        <f t="shared" si="6"/>
        <v>38492.923798147123</v>
      </c>
      <c r="AC274" s="59">
        <f t="shared" si="7"/>
        <v>16562.655076886807</v>
      </c>
      <c r="AD274" s="62">
        <f t="shared" si="8"/>
        <v>55055.578875033927</v>
      </c>
      <c r="AE274" s="59">
        <f t="shared" si="9"/>
        <v>1341683.1438989169</v>
      </c>
    </row>
    <row r="275" spans="19:31" ht="14.4" thickBot="1" x14ac:dyDescent="0.3">
      <c r="Y275" s="24">
        <v>20</v>
      </c>
      <c r="Z275" s="60">
        <v>20</v>
      </c>
      <c r="AA275" s="59">
        <f t="shared" si="11"/>
        <v>1341683.1438989169</v>
      </c>
      <c r="AB275" s="59">
        <f t="shared" si="6"/>
        <v>38954.854007409042</v>
      </c>
      <c r="AC275" s="59">
        <f t="shared" si="7"/>
        <v>16100.724867624886</v>
      </c>
      <c r="AD275" s="62">
        <f t="shared" si="8"/>
        <v>55055.578875033927</v>
      </c>
      <c r="AE275" s="59">
        <f t="shared" si="9"/>
        <v>1302728.2898915079</v>
      </c>
    </row>
    <row r="276" spans="19:31" ht="14.4" thickBot="1" x14ac:dyDescent="0.3">
      <c r="Y276" s="24">
        <v>21</v>
      </c>
      <c r="Z276" s="60">
        <v>21</v>
      </c>
      <c r="AA276" s="59">
        <f t="shared" si="11"/>
        <v>1302728.2898915079</v>
      </c>
      <c r="AB276" s="59">
        <f t="shared" si="6"/>
        <v>39422.327560672253</v>
      </c>
      <c r="AC276" s="59">
        <f t="shared" si="7"/>
        <v>15633.251314361672</v>
      </c>
      <c r="AD276" s="62">
        <f t="shared" si="8"/>
        <v>55055.578875033927</v>
      </c>
      <c r="AE276" s="59">
        <f t="shared" si="9"/>
        <v>1263305.9623308356</v>
      </c>
    </row>
    <row r="277" spans="19:31" ht="14.4" thickBot="1" x14ac:dyDescent="0.3">
      <c r="Y277" s="24">
        <v>22</v>
      </c>
      <c r="Z277" s="60">
        <v>22</v>
      </c>
      <c r="AA277" s="59">
        <f t="shared" si="11"/>
        <v>1263305.9623308356</v>
      </c>
      <c r="AB277" s="59">
        <f t="shared" si="6"/>
        <v>39895.410980242734</v>
      </c>
      <c r="AC277" s="59">
        <f t="shared" si="7"/>
        <v>15160.167894791193</v>
      </c>
      <c r="AD277" s="62">
        <f t="shared" si="8"/>
        <v>55055.578875033927</v>
      </c>
      <c r="AE277" s="59">
        <f t="shared" si="9"/>
        <v>1223410.5513505929</v>
      </c>
    </row>
    <row r="278" spans="19:31" ht="14.4" thickBot="1" x14ac:dyDescent="0.3">
      <c r="Y278" s="24">
        <v>23</v>
      </c>
      <c r="Z278" s="60">
        <v>23</v>
      </c>
      <c r="AA278" s="59">
        <f t="shared" si="11"/>
        <v>1223410.5513505929</v>
      </c>
      <c r="AB278" s="59">
        <f t="shared" si="6"/>
        <v>40374.171586720251</v>
      </c>
      <c r="AC278" s="59">
        <f t="shared" si="7"/>
        <v>14681.407288313674</v>
      </c>
      <c r="AD278" s="62">
        <f t="shared" si="8"/>
        <v>55055.578875033927</v>
      </c>
      <c r="AE278" s="59">
        <f t="shared" si="9"/>
        <v>1183036.3797638726</v>
      </c>
    </row>
    <row r="279" spans="19:31" ht="14.4" thickBot="1" x14ac:dyDescent="0.3">
      <c r="Y279" s="24">
        <v>24</v>
      </c>
      <c r="Z279" s="60">
        <v>24</v>
      </c>
      <c r="AA279" s="59">
        <f t="shared" si="11"/>
        <v>1183036.3797638726</v>
      </c>
      <c r="AB279" s="59">
        <f t="shared" si="6"/>
        <v>40858.677508578236</v>
      </c>
      <c r="AC279" s="59">
        <f t="shared" si="7"/>
        <v>14196.901366455691</v>
      </c>
      <c r="AD279" s="62">
        <f t="shared" si="8"/>
        <v>55055.578875033927</v>
      </c>
      <c r="AE279" s="63">
        <f t="shared" si="9"/>
        <v>1142177.7022552944</v>
      </c>
    </row>
    <row r="280" spans="19:31" ht="14.4" thickBot="1" x14ac:dyDescent="0.3">
      <c r="Y280" s="24">
        <v>25</v>
      </c>
      <c r="Z280" s="60">
        <v>25</v>
      </c>
      <c r="AA280" s="59">
        <f t="shared" si="11"/>
        <v>1142177.7022552944</v>
      </c>
      <c r="AB280" s="59">
        <f t="shared" si="6"/>
        <v>41348.997691858553</v>
      </c>
      <c r="AC280" s="59">
        <f t="shared" si="7"/>
        <v>13706.581183175374</v>
      </c>
      <c r="AD280" s="62">
        <f t="shared" si="8"/>
        <v>55055.578875033927</v>
      </c>
      <c r="AE280" s="59">
        <f t="shared" si="9"/>
        <v>1100828.7045634359</v>
      </c>
    </row>
    <row r="281" spans="19:31" ht="14.4" thickBot="1" x14ac:dyDescent="0.3">
      <c r="Y281" s="24">
        <v>26</v>
      </c>
      <c r="Z281" s="60">
        <v>26</v>
      </c>
      <c r="AA281" s="59">
        <f t="shared" si="11"/>
        <v>1100828.7045634359</v>
      </c>
      <c r="AB281" s="59">
        <f t="shared" si="6"/>
        <v>41845.201909982672</v>
      </c>
      <c r="AC281" s="59">
        <f t="shared" si="7"/>
        <v>13210.376965051255</v>
      </c>
      <c r="AD281" s="62">
        <f t="shared" si="8"/>
        <v>55055.578875033927</v>
      </c>
      <c r="AE281" s="59">
        <f t="shared" si="9"/>
        <v>1058983.5026534533</v>
      </c>
    </row>
    <row r="282" spans="19:31" ht="14.4" thickBot="1" x14ac:dyDescent="0.3">
      <c r="Y282" s="24">
        <v>27</v>
      </c>
      <c r="Z282" s="60">
        <v>27</v>
      </c>
      <c r="AA282" s="59">
        <f t="shared" si="11"/>
        <v>1058983.5026534533</v>
      </c>
      <c r="AB282" s="59">
        <f t="shared" si="6"/>
        <v>42347.360773680521</v>
      </c>
      <c r="AC282" s="59">
        <f t="shared" si="7"/>
        <v>12708.218101353405</v>
      </c>
      <c r="AD282" s="62">
        <f t="shared" si="8"/>
        <v>55055.578875033927</v>
      </c>
      <c r="AE282" s="59">
        <f t="shared" si="9"/>
        <v>1016636.1418797728</v>
      </c>
    </row>
    <row r="283" spans="19:31" ht="14.4" thickBot="1" x14ac:dyDescent="0.3">
      <c r="Y283" s="24">
        <v>28</v>
      </c>
      <c r="Z283" s="60">
        <v>28</v>
      </c>
      <c r="AA283" s="59">
        <f t="shared" si="11"/>
        <v>1016636.1418797728</v>
      </c>
      <c r="AB283" s="59">
        <f t="shared" si="6"/>
        <v>42855.545741038542</v>
      </c>
      <c r="AC283" s="59">
        <f t="shared" si="7"/>
        <v>12200.033133995381</v>
      </c>
      <c r="AD283" s="62">
        <f t="shared" si="8"/>
        <v>55055.578875033927</v>
      </c>
      <c r="AE283" s="59">
        <f t="shared" si="9"/>
        <v>973780.59613873425</v>
      </c>
    </row>
    <row r="284" spans="19:31" ht="14.4" thickBot="1" x14ac:dyDescent="0.3">
      <c r="Y284" s="24">
        <v>29</v>
      </c>
      <c r="Z284" s="60">
        <v>29</v>
      </c>
      <c r="AA284" s="59">
        <f t="shared" si="11"/>
        <v>973780.59613873425</v>
      </c>
      <c r="AB284" s="59">
        <f t="shared" si="6"/>
        <v>43369.829127668287</v>
      </c>
      <c r="AC284" s="59">
        <f t="shared" si="7"/>
        <v>11685.749747365639</v>
      </c>
      <c r="AD284" s="62">
        <f t="shared" si="8"/>
        <v>55055.578875033927</v>
      </c>
      <c r="AE284" s="59">
        <f t="shared" si="9"/>
        <v>930410.76701106597</v>
      </c>
    </row>
    <row r="285" spans="19:31" ht="14.4" thickBot="1" x14ac:dyDescent="0.3">
      <c r="Y285" s="24">
        <v>30</v>
      </c>
      <c r="Z285" s="60">
        <v>30</v>
      </c>
      <c r="AA285" s="59">
        <f t="shared" si="11"/>
        <v>930410.76701106597</v>
      </c>
      <c r="AB285" s="59">
        <f t="shared" si="6"/>
        <v>43890.284116997049</v>
      </c>
      <c r="AC285" s="59">
        <f t="shared" si="7"/>
        <v>11165.294758036876</v>
      </c>
      <c r="AD285" s="62">
        <f t="shared" si="8"/>
        <v>55055.578875033927</v>
      </c>
      <c r="AE285" s="63">
        <f t="shared" si="9"/>
        <v>886520.48289406893</v>
      </c>
    </row>
    <row r="286" spans="19:31" ht="14.4" thickBot="1" x14ac:dyDescent="0.3">
      <c r="Y286" s="24">
        <v>31</v>
      </c>
      <c r="Z286" s="60">
        <v>31</v>
      </c>
      <c r="AA286" s="59">
        <f t="shared" si="11"/>
        <v>886520.48289406893</v>
      </c>
      <c r="AB286" s="59">
        <f t="shared" si="6"/>
        <v>44416.984770682015</v>
      </c>
      <c r="AC286" s="59">
        <f t="shared" si="7"/>
        <v>10638.594104351914</v>
      </c>
      <c r="AD286" s="62">
        <f t="shared" si="8"/>
        <v>55055.578875033927</v>
      </c>
      <c r="AE286" s="59">
        <f t="shared" si="9"/>
        <v>842103.49812338687</v>
      </c>
    </row>
    <row r="287" spans="19:31" ht="14.4" thickBot="1" x14ac:dyDescent="0.3">
      <c r="Y287" s="24">
        <v>32</v>
      </c>
      <c r="Z287" s="60">
        <v>32</v>
      </c>
      <c r="AA287" s="59">
        <f t="shared" si="11"/>
        <v>842103.49812338687</v>
      </c>
      <c r="AB287" s="59">
        <f t="shared" si="6"/>
        <v>44950.006039149346</v>
      </c>
      <c r="AC287" s="59">
        <f t="shared" si="7"/>
        <v>10105.572835884584</v>
      </c>
      <c r="AD287" s="62">
        <f t="shared" si="8"/>
        <v>55055.578875033927</v>
      </c>
      <c r="AE287" s="59">
        <f t="shared" si="9"/>
        <v>797153.49208423751</v>
      </c>
    </row>
    <row r="288" spans="19:31" ht="14.4" thickBot="1" x14ac:dyDescent="0.3">
      <c r="Y288" s="24">
        <v>33</v>
      </c>
      <c r="Z288" s="60">
        <v>33</v>
      </c>
      <c r="AA288" s="59">
        <f t="shared" si="11"/>
        <v>797153.49208423751</v>
      </c>
      <c r="AB288" s="59">
        <f t="shared" si="6"/>
        <v>45489.423772259768</v>
      </c>
      <c r="AC288" s="59">
        <f t="shared" si="7"/>
        <v>9566.1551027741589</v>
      </c>
      <c r="AD288" s="62">
        <f t="shared" si="8"/>
        <v>55055.578875033927</v>
      </c>
      <c r="AE288" s="59">
        <f t="shared" si="9"/>
        <v>751664.06831197778</v>
      </c>
    </row>
    <row r="289" spans="25:31" ht="14.4" thickBot="1" x14ac:dyDescent="0.3">
      <c r="Y289" s="24">
        <v>34</v>
      </c>
      <c r="Z289" s="60">
        <v>34</v>
      </c>
      <c r="AA289" s="59">
        <f t="shared" si="11"/>
        <v>751664.06831197778</v>
      </c>
      <c r="AB289" s="59">
        <f t="shared" si="6"/>
        <v>46035.314730102138</v>
      </c>
      <c r="AC289" s="59">
        <f t="shared" si="7"/>
        <v>9020.2641449317853</v>
      </c>
      <c r="AD289" s="62">
        <f t="shared" si="8"/>
        <v>55055.578875033927</v>
      </c>
      <c r="AE289" s="59">
        <f t="shared" si="9"/>
        <v>705628.7535818757</v>
      </c>
    </row>
    <row r="290" spans="25:31" ht="14.4" thickBot="1" x14ac:dyDescent="0.3">
      <c r="Y290" s="24">
        <v>35</v>
      </c>
      <c r="Z290" s="60">
        <v>35</v>
      </c>
      <c r="AA290" s="59">
        <f t="shared" si="11"/>
        <v>705628.7535818757</v>
      </c>
      <c r="AB290" s="59">
        <f t="shared" si="6"/>
        <v>46587.756593916551</v>
      </c>
      <c r="AC290" s="59">
        <f t="shared" si="7"/>
        <v>8467.8222811173764</v>
      </c>
      <c r="AD290" s="62">
        <f t="shared" si="8"/>
        <v>55055.578875033927</v>
      </c>
      <c r="AE290" s="59">
        <f t="shared" si="9"/>
        <v>659040.99698795914</v>
      </c>
    </row>
    <row r="291" spans="25:31" ht="14.4" thickBot="1" x14ac:dyDescent="0.3">
      <c r="Y291" s="24">
        <v>36</v>
      </c>
      <c r="Z291" s="60">
        <v>36</v>
      </c>
      <c r="AA291" s="59">
        <f t="shared" si="11"/>
        <v>659040.99698795914</v>
      </c>
      <c r="AB291" s="59">
        <f t="shared" si="6"/>
        <v>47146.827977148481</v>
      </c>
      <c r="AC291" s="59">
        <f t="shared" si="7"/>
        <v>7908.7508978854494</v>
      </c>
      <c r="AD291" s="62">
        <f t="shared" si="8"/>
        <v>55055.578875033927</v>
      </c>
      <c r="AE291" s="59">
        <f t="shared" si="9"/>
        <v>611894.16901081067</v>
      </c>
    </row>
    <row r="292" spans="25:31" ht="14.4" thickBot="1" x14ac:dyDescent="0.3">
      <c r="Y292" s="24">
        <v>37</v>
      </c>
      <c r="Z292" s="60">
        <v>37</v>
      </c>
      <c r="AA292" s="59">
        <f t="shared" si="11"/>
        <v>611894.16901081067</v>
      </c>
      <c r="AB292" s="59">
        <f t="shared" si="6"/>
        <v>47712.608436635637</v>
      </c>
      <c r="AC292" s="59">
        <f t="shared" si="7"/>
        <v>7342.9704383982889</v>
      </c>
      <c r="AD292" s="62">
        <f t="shared" si="8"/>
        <v>55055.578875033927</v>
      </c>
      <c r="AE292" s="59">
        <f t="shared" si="9"/>
        <v>564181.56057417509</v>
      </c>
    </row>
    <row r="293" spans="25:31" ht="14.4" thickBot="1" x14ac:dyDescent="0.3">
      <c r="Y293" s="24">
        <v>38</v>
      </c>
      <c r="Z293" s="60">
        <v>38</v>
      </c>
      <c r="AA293" s="59">
        <f t="shared" si="11"/>
        <v>564181.56057417509</v>
      </c>
      <c r="AB293" s="59">
        <f t="shared" si="6"/>
        <v>48285.178483929056</v>
      </c>
      <c r="AC293" s="59">
        <f t="shared" si="7"/>
        <v>6770.4003911048685</v>
      </c>
      <c r="AD293" s="62">
        <f t="shared" si="8"/>
        <v>55055.578875033927</v>
      </c>
      <c r="AE293" s="59">
        <f t="shared" si="9"/>
        <v>515896.38209024601</v>
      </c>
    </row>
    <row r="294" spans="25:31" ht="14.4" thickBot="1" x14ac:dyDescent="0.3">
      <c r="Y294" s="24">
        <v>39</v>
      </c>
      <c r="Z294" s="60">
        <v>39</v>
      </c>
      <c r="AA294" s="59">
        <f t="shared" si="11"/>
        <v>515896.38209024601</v>
      </c>
      <c r="AB294" s="59">
        <f t="shared" si="6"/>
        <v>48864.61959675001</v>
      </c>
      <c r="AC294" s="59">
        <f t="shared" si="7"/>
        <v>6190.9592782839163</v>
      </c>
      <c r="AD294" s="62">
        <f t="shared" si="8"/>
        <v>55055.578875033927</v>
      </c>
      <c r="AE294" s="59">
        <f t="shared" si="9"/>
        <v>467031.762493496</v>
      </c>
    </row>
    <row r="295" spans="25:31" ht="14.4" thickBot="1" x14ac:dyDescent="0.3">
      <c r="Y295" s="24">
        <v>40</v>
      </c>
      <c r="Z295" s="60">
        <v>40</v>
      </c>
      <c r="AA295" s="59">
        <f t="shared" si="11"/>
        <v>467031.762493496</v>
      </c>
      <c r="AB295" s="59">
        <f t="shared" si="6"/>
        <v>49451.014230584435</v>
      </c>
      <c r="AC295" s="59">
        <f t="shared" si="7"/>
        <v>5604.5646444494923</v>
      </c>
      <c r="AD295" s="62">
        <f t="shared" si="8"/>
        <v>55055.578875033927</v>
      </c>
      <c r="AE295" s="59">
        <f t="shared" si="9"/>
        <v>417580.74826291157</v>
      </c>
    </row>
    <row r="296" spans="25:31" ht="14.4" thickBot="1" x14ac:dyDescent="0.3">
      <c r="Y296" s="24">
        <v>41</v>
      </c>
      <c r="Z296" s="60">
        <v>41</v>
      </c>
      <c r="AA296" s="59">
        <f t="shared" si="11"/>
        <v>417580.74826291157</v>
      </c>
      <c r="AB296" s="59">
        <f t="shared" si="6"/>
        <v>50044.445830416495</v>
      </c>
      <c r="AC296" s="59">
        <f t="shared" si="7"/>
        <v>5011.1330446174325</v>
      </c>
      <c r="AD296" s="62">
        <f t="shared" si="8"/>
        <v>55055.578875033927</v>
      </c>
      <c r="AE296" s="59">
        <f t="shared" si="9"/>
        <v>367536.30243249505</v>
      </c>
    </row>
    <row r="297" spans="25:31" ht="14.4" thickBot="1" x14ac:dyDescent="0.3">
      <c r="Y297" s="24">
        <v>42</v>
      </c>
      <c r="Z297" s="60">
        <v>42</v>
      </c>
      <c r="AA297" s="59">
        <f t="shared" si="11"/>
        <v>367536.30243249505</v>
      </c>
      <c r="AB297" s="59">
        <f t="shared" si="6"/>
        <v>50644.998842602952</v>
      </c>
      <c r="AC297" s="59">
        <f t="shared" si="7"/>
        <v>4410.5800324309721</v>
      </c>
      <c r="AD297" s="62">
        <f t="shared" si="8"/>
        <v>55055.578875033927</v>
      </c>
      <c r="AE297" s="59">
        <f t="shared" si="9"/>
        <v>316891.30358989211</v>
      </c>
    </row>
    <row r="298" spans="25:31" ht="14.4" thickBot="1" x14ac:dyDescent="0.3">
      <c r="Y298" s="24">
        <v>43</v>
      </c>
      <c r="Z298" s="60">
        <v>43</v>
      </c>
      <c r="AA298" s="59">
        <f t="shared" si="11"/>
        <v>316891.30358989211</v>
      </c>
      <c r="AB298" s="59">
        <f t="shared" si="6"/>
        <v>51252.758726890032</v>
      </c>
      <c r="AC298" s="59">
        <f t="shared" si="7"/>
        <v>3802.8201481438932</v>
      </c>
      <c r="AD298" s="62">
        <f t="shared" si="8"/>
        <v>55055.578875033927</v>
      </c>
      <c r="AE298" s="59">
        <f t="shared" si="9"/>
        <v>265638.54486300208</v>
      </c>
    </row>
    <row r="299" spans="25:31" ht="14.4" thickBot="1" x14ac:dyDescent="0.3">
      <c r="Y299" s="24">
        <v>44</v>
      </c>
      <c r="Z299" s="60">
        <v>44</v>
      </c>
      <c r="AA299" s="59">
        <f t="shared" si="11"/>
        <v>265638.54486300208</v>
      </c>
      <c r="AB299" s="59">
        <f t="shared" si="6"/>
        <v>51867.81196857449</v>
      </c>
      <c r="AC299" s="59">
        <f t="shared" si="7"/>
        <v>3187.7669064594406</v>
      </c>
      <c r="AD299" s="62">
        <f t="shared" si="8"/>
        <v>55055.578875033927</v>
      </c>
      <c r="AE299" s="59">
        <f t="shared" si="9"/>
        <v>213770.73289442761</v>
      </c>
    </row>
    <row r="300" spans="25:31" ht="14.4" thickBot="1" x14ac:dyDescent="0.3">
      <c r="Y300" s="24">
        <v>45</v>
      </c>
      <c r="Z300" s="60">
        <v>45</v>
      </c>
      <c r="AA300" s="59">
        <f t="shared" si="11"/>
        <v>213770.73289442761</v>
      </c>
      <c r="AB300" s="59">
        <f t="shared" si="6"/>
        <v>52490.246090810608</v>
      </c>
      <c r="AC300" s="59">
        <f t="shared" si="7"/>
        <v>2565.3327842233216</v>
      </c>
      <c r="AD300" s="62">
        <f t="shared" si="8"/>
        <v>55055.578875033927</v>
      </c>
      <c r="AE300" s="59">
        <f t="shared" si="9"/>
        <v>161280.48680361701</v>
      </c>
    </row>
    <row r="301" spans="25:31" ht="14.4" thickBot="1" x14ac:dyDescent="0.3">
      <c r="Y301" s="24">
        <v>46</v>
      </c>
      <c r="Z301" s="60">
        <v>46</v>
      </c>
      <c r="AA301" s="59">
        <f t="shared" si="11"/>
        <v>161280.48680361701</v>
      </c>
      <c r="AB301" s="59">
        <f t="shared" si="6"/>
        <v>53120.149667064921</v>
      </c>
      <c r="AC301" s="59">
        <f t="shared" si="7"/>
        <v>1935.4292079690038</v>
      </c>
      <c r="AD301" s="62">
        <f t="shared" si="8"/>
        <v>55055.578875033927</v>
      </c>
      <c r="AE301" s="59">
        <f t="shared" si="9"/>
        <v>108160.33713655209</v>
      </c>
    </row>
    <row r="302" spans="25:31" ht="14.4" thickBot="1" x14ac:dyDescent="0.3">
      <c r="Y302" s="24">
        <v>47</v>
      </c>
      <c r="Z302" s="60">
        <v>47</v>
      </c>
      <c r="AA302" s="59">
        <f t="shared" si="11"/>
        <v>108160.33713655209</v>
      </c>
      <c r="AB302" s="59">
        <f t="shared" si="6"/>
        <v>53757.612333720368</v>
      </c>
      <c r="AC302" s="59">
        <f t="shared" si="7"/>
        <v>1297.9665413135563</v>
      </c>
      <c r="AD302" s="62">
        <f t="shared" si="8"/>
        <v>55055.578875033927</v>
      </c>
      <c r="AE302" s="59">
        <f t="shared" si="9"/>
        <v>54402.724802831719</v>
      </c>
    </row>
    <row r="303" spans="25:31" ht="14.4" thickBot="1" x14ac:dyDescent="0.3">
      <c r="Y303" s="24">
        <v>48</v>
      </c>
      <c r="Z303" s="60">
        <v>48</v>
      </c>
      <c r="AA303" s="59">
        <f t="shared" si="11"/>
        <v>54402.724802831719</v>
      </c>
      <c r="AB303" s="59">
        <f t="shared" si="6"/>
        <v>54402.72480283169</v>
      </c>
      <c r="AC303" s="59">
        <f t="shared" si="7"/>
        <v>652.85407220223556</v>
      </c>
      <c r="AD303" s="62">
        <f t="shared" si="8"/>
        <v>55055.578875033927</v>
      </c>
      <c r="AE303" s="63">
        <f t="shared" si="9"/>
        <v>0</v>
      </c>
    </row>
    <row r="307" spans="19:31" x14ac:dyDescent="0.25">
      <c r="T307" t="s">
        <v>78</v>
      </c>
      <c r="Z307" t="s">
        <v>79</v>
      </c>
    </row>
    <row r="308" spans="19:31" x14ac:dyDescent="0.25">
      <c r="S308" s="52" t="s">
        <v>80</v>
      </c>
      <c r="Z308" s="52" t="s">
        <v>80</v>
      </c>
    </row>
    <row r="309" spans="19:31" x14ac:dyDescent="0.25">
      <c r="S309" s="45" t="s">
        <v>0</v>
      </c>
      <c r="T309" s="23">
        <v>300000</v>
      </c>
      <c r="U309" s="24" t="s">
        <v>16</v>
      </c>
      <c r="X309" s="4"/>
      <c r="Z309" s="2" t="s">
        <v>0</v>
      </c>
      <c r="AA309" s="4">
        <v>300000</v>
      </c>
      <c r="AB309" t="s">
        <v>16</v>
      </c>
      <c r="AD309" s="13"/>
      <c r="AE309" s="4"/>
    </row>
    <row r="310" spans="19:31" x14ac:dyDescent="0.25">
      <c r="S310" s="45" t="s">
        <v>58</v>
      </c>
      <c r="T310" s="24">
        <v>60</v>
      </c>
      <c r="U310" s="24" t="s">
        <v>81</v>
      </c>
      <c r="Z310" s="2" t="s">
        <v>9</v>
      </c>
      <c r="AA310">
        <v>60</v>
      </c>
      <c r="AB310" t="s">
        <v>81</v>
      </c>
    </row>
    <row r="311" spans="19:31" x14ac:dyDescent="0.25">
      <c r="S311" s="45" t="s">
        <v>82</v>
      </c>
      <c r="T311" s="53">
        <v>0.01</v>
      </c>
      <c r="U311" s="24" t="s">
        <v>83</v>
      </c>
      <c r="W311" s="53"/>
      <c r="X311" s="13" t="s">
        <v>84</v>
      </c>
      <c r="Z311" s="2" t="s">
        <v>82</v>
      </c>
      <c r="AA311" s="53">
        <v>0.01</v>
      </c>
      <c r="AB311" t="s">
        <v>83</v>
      </c>
      <c r="AE311" s="13"/>
    </row>
    <row r="312" spans="19:31" ht="14.4" thickBot="1" x14ac:dyDescent="0.3">
      <c r="S312" s="2"/>
      <c r="T312" s="24">
        <f>T309/T310</f>
        <v>5000</v>
      </c>
      <c r="U312" s="24" t="s">
        <v>85</v>
      </c>
      <c r="Z312" s="2"/>
      <c r="AA312" s="54">
        <f>PMT(AA311,AA310,-AA309,,)</f>
        <v>6673.3343054705329</v>
      </c>
      <c r="AB312" t="s">
        <v>26</v>
      </c>
    </row>
    <row r="313" spans="19:31" ht="14.4" thickBot="1" x14ac:dyDescent="0.3">
      <c r="S313" s="55" t="s">
        <v>86</v>
      </c>
      <c r="T313" s="55" t="s">
        <v>87</v>
      </c>
      <c r="U313" s="55" t="s">
        <v>88</v>
      </c>
      <c r="V313" s="55" t="s">
        <v>89</v>
      </c>
      <c r="W313" s="55" t="s">
        <v>90</v>
      </c>
      <c r="X313" s="56" t="s">
        <v>91</v>
      </c>
      <c r="Z313" s="57" t="s">
        <v>86</v>
      </c>
      <c r="AA313" s="57" t="s">
        <v>87</v>
      </c>
      <c r="AB313" s="57" t="s">
        <v>88</v>
      </c>
      <c r="AC313" s="57" t="s">
        <v>89</v>
      </c>
      <c r="AD313" s="57" t="s">
        <v>90</v>
      </c>
      <c r="AE313" s="57" t="s">
        <v>91</v>
      </c>
    </row>
    <row r="314" spans="19:31" ht="14.4" thickBot="1" x14ac:dyDescent="0.3">
      <c r="S314" s="58">
        <v>1</v>
      </c>
      <c r="T314" s="59">
        <f>T309</f>
        <v>300000</v>
      </c>
      <c r="U314" s="59">
        <f>T312</f>
        <v>5000</v>
      </c>
      <c r="V314" s="59">
        <f>$T$311*T314</f>
        <v>3000</v>
      </c>
      <c r="W314" s="59">
        <f>V314+U314</f>
        <v>8000</v>
      </c>
      <c r="X314" s="59">
        <f>T314-U314</f>
        <v>295000</v>
      </c>
      <c r="Y314" s="24"/>
      <c r="Z314" s="60">
        <v>1</v>
      </c>
      <c r="AA314" s="61">
        <f>AA309</f>
        <v>300000</v>
      </c>
      <c r="AB314" s="59">
        <f>AD314-AC314</f>
        <v>3673.3343054705329</v>
      </c>
      <c r="AC314" s="59">
        <f>$AA$311*AA314</f>
        <v>3000</v>
      </c>
      <c r="AD314" s="62">
        <f>$AA$312</f>
        <v>6673.3343054705329</v>
      </c>
      <c r="AE314" s="59">
        <f>AA314-AB314</f>
        <v>296326.66569452948</v>
      </c>
    </row>
    <row r="315" spans="19:31" ht="14.4" thickBot="1" x14ac:dyDescent="0.3">
      <c r="S315" s="58">
        <v>2</v>
      </c>
      <c r="T315" s="59">
        <f>X314</f>
        <v>295000</v>
      </c>
      <c r="U315" s="59">
        <f>T312</f>
        <v>5000</v>
      </c>
      <c r="V315" s="59">
        <f t="shared" ref="V315" si="15">$T$253*T315</f>
        <v>3540.1159040775633</v>
      </c>
      <c r="W315" s="59">
        <f t="shared" ref="W315" si="16">V315+U315</f>
        <v>8540.1159040775638</v>
      </c>
      <c r="X315" s="59">
        <f t="shared" ref="X315" si="17">T315-U315</f>
        <v>290000</v>
      </c>
      <c r="Y315" s="24"/>
      <c r="Z315" s="60">
        <v>2</v>
      </c>
      <c r="AA315" s="59">
        <f>AE314</f>
        <v>296326.66569452948</v>
      </c>
      <c r="AB315" s="59">
        <f t="shared" ref="AB315" si="18">AD315-AC315</f>
        <v>51499.542461381454</v>
      </c>
      <c r="AC315" s="59">
        <f t="shared" ref="AC315" si="19">$AA$253*AA315</f>
        <v>3556.0364136524713</v>
      </c>
      <c r="AD315" s="62">
        <f t="shared" ref="AD315" si="20">$AA$254</f>
        <v>55055.578875033927</v>
      </c>
      <c r="AE315" s="59">
        <f t="shared" ref="AE315" si="21">AA315-AB315</f>
        <v>244827.12323314801</v>
      </c>
    </row>
    <row r="317" spans="19:31" x14ac:dyDescent="0.25">
      <c r="AD317" s="16">
        <f>W314-AD314</f>
        <v>1326.6656945294671</v>
      </c>
    </row>
    <row r="321" spans="19:24" x14ac:dyDescent="0.25">
      <c r="S321" s="52" t="s">
        <v>80</v>
      </c>
    </row>
    <row r="322" spans="19:24" x14ac:dyDescent="0.25">
      <c r="S322" s="45" t="s">
        <v>0</v>
      </c>
      <c r="T322" s="23">
        <v>100000</v>
      </c>
      <c r="U322" s="24" t="s">
        <v>16</v>
      </c>
      <c r="X322" s="4"/>
    </row>
    <row r="323" spans="19:24" x14ac:dyDescent="0.25">
      <c r="S323" s="45" t="s">
        <v>58</v>
      </c>
      <c r="T323" s="24">
        <f>5*12</f>
        <v>60</v>
      </c>
      <c r="U323" s="24" t="s">
        <v>81</v>
      </c>
    </row>
    <row r="324" spans="19:24" x14ac:dyDescent="0.25">
      <c r="S324" s="45" t="s">
        <v>82</v>
      </c>
      <c r="T324" s="53">
        <v>0.01</v>
      </c>
      <c r="U324" s="24" t="s">
        <v>83</v>
      </c>
      <c r="X324" s="13"/>
    </row>
    <row r="325" spans="19:24" ht="14.4" thickBot="1" x14ac:dyDescent="0.3">
      <c r="S325" s="2"/>
      <c r="T325" s="24"/>
      <c r="U325" s="24"/>
    </row>
    <row r="326" spans="19:24" ht="14.4" thickBot="1" x14ac:dyDescent="0.3">
      <c r="S326" s="55" t="s">
        <v>86</v>
      </c>
      <c r="T326" s="55" t="s">
        <v>87</v>
      </c>
      <c r="U326" s="55" t="s">
        <v>88</v>
      </c>
      <c r="V326" s="55" t="s">
        <v>89</v>
      </c>
      <c r="W326" s="55" t="s">
        <v>90</v>
      </c>
      <c r="X326" s="56" t="s">
        <v>91</v>
      </c>
    </row>
    <row r="327" spans="19:24" ht="14.4" thickBot="1" x14ac:dyDescent="0.3">
      <c r="S327" s="58">
        <v>1</v>
      </c>
      <c r="T327" s="59">
        <f>T322</f>
        <v>100000</v>
      </c>
      <c r="U327" s="59">
        <v>0</v>
      </c>
      <c r="V327" s="59">
        <f>$T$324*T327</f>
        <v>1000</v>
      </c>
      <c r="W327" s="59">
        <f>U327+V327</f>
        <v>1000</v>
      </c>
      <c r="X327" s="59">
        <f>T327-U327</f>
        <v>100000</v>
      </c>
    </row>
    <row r="328" spans="19:24" ht="14.4" thickBot="1" x14ac:dyDescent="0.3">
      <c r="S328" s="58">
        <v>2</v>
      </c>
      <c r="T328" s="59">
        <f>X327</f>
        <v>100000</v>
      </c>
      <c r="U328" s="59">
        <v>0</v>
      </c>
      <c r="V328" s="59">
        <f t="shared" ref="V328:V386" si="22">$T$324*T328</f>
        <v>1000</v>
      </c>
      <c r="W328" s="59">
        <f t="shared" ref="W328:W386" si="23">U328+V328</f>
        <v>1000</v>
      </c>
      <c r="X328" s="59">
        <f t="shared" ref="X328:X331" si="24">T328-U328</f>
        <v>100000</v>
      </c>
    </row>
    <row r="329" spans="19:24" ht="14.4" thickBot="1" x14ac:dyDescent="0.3">
      <c r="S329" s="58">
        <v>3</v>
      </c>
      <c r="T329" s="59">
        <f t="shared" ref="T329:T331" si="25">X328</f>
        <v>100000</v>
      </c>
      <c r="U329" s="59">
        <v>0</v>
      </c>
      <c r="V329" s="59">
        <f t="shared" si="22"/>
        <v>1000</v>
      </c>
      <c r="W329" s="59">
        <f t="shared" si="23"/>
        <v>1000</v>
      </c>
      <c r="X329" s="59">
        <f t="shared" si="24"/>
        <v>100000</v>
      </c>
    </row>
    <row r="330" spans="19:24" ht="14.4" thickBot="1" x14ac:dyDescent="0.3">
      <c r="S330" s="58">
        <v>4</v>
      </c>
      <c r="T330" s="59">
        <f t="shared" si="25"/>
        <v>100000</v>
      </c>
      <c r="U330" s="59">
        <v>0</v>
      </c>
      <c r="V330" s="59">
        <f t="shared" si="22"/>
        <v>1000</v>
      </c>
      <c r="W330" s="59">
        <f t="shared" si="23"/>
        <v>1000</v>
      </c>
      <c r="X330" s="59">
        <f t="shared" si="24"/>
        <v>100000</v>
      </c>
    </row>
    <row r="331" spans="19:24" ht="14.4" thickBot="1" x14ac:dyDescent="0.3">
      <c r="S331" s="58">
        <v>5</v>
      </c>
      <c r="T331" s="59">
        <f t="shared" si="25"/>
        <v>100000</v>
      </c>
      <c r="U331" s="59">
        <v>0</v>
      </c>
      <c r="V331" s="59">
        <f t="shared" si="22"/>
        <v>1000</v>
      </c>
      <c r="W331" s="59">
        <f t="shared" si="23"/>
        <v>1000</v>
      </c>
      <c r="X331" s="64">
        <f t="shared" si="24"/>
        <v>100000</v>
      </c>
    </row>
    <row r="332" spans="19:24" ht="14.4" thickBot="1" x14ac:dyDescent="0.3">
      <c r="S332" s="58">
        <v>6</v>
      </c>
      <c r="T332" s="59">
        <f t="shared" ref="T332:T381" si="26">X331</f>
        <v>100000</v>
      </c>
      <c r="U332" s="59">
        <v>0</v>
      </c>
      <c r="V332" s="59">
        <f t="shared" si="22"/>
        <v>1000</v>
      </c>
      <c r="W332" s="59">
        <f t="shared" si="23"/>
        <v>1000</v>
      </c>
      <c r="X332" s="64">
        <f t="shared" ref="X332:X381" si="27">T332-U332</f>
        <v>100000</v>
      </c>
    </row>
    <row r="333" spans="19:24" ht="14.4" thickBot="1" x14ac:dyDescent="0.3">
      <c r="S333" s="58">
        <v>7</v>
      </c>
      <c r="T333" s="59">
        <f t="shared" si="26"/>
        <v>100000</v>
      </c>
      <c r="U333" s="59">
        <v>0</v>
      </c>
      <c r="V333" s="59">
        <f t="shared" si="22"/>
        <v>1000</v>
      </c>
      <c r="W333" s="59">
        <f t="shared" si="23"/>
        <v>1000</v>
      </c>
      <c r="X333" s="64">
        <f t="shared" si="27"/>
        <v>100000</v>
      </c>
    </row>
    <row r="334" spans="19:24" ht="14.4" thickBot="1" x14ac:dyDescent="0.3">
      <c r="S334" s="58">
        <v>8</v>
      </c>
      <c r="T334" s="59">
        <f t="shared" si="26"/>
        <v>100000</v>
      </c>
      <c r="U334" s="59">
        <v>0</v>
      </c>
      <c r="V334" s="59">
        <f t="shared" si="22"/>
        <v>1000</v>
      </c>
      <c r="W334" s="59">
        <f t="shared" si="23"/>
        <v>1000</v>
      </c>
      <c r="X334" s="64">
        <f t="shared" si="27"/>
        <v>100000</v>
      </c>
    </row>
    <row r="335" spans="19:24" ht="14.4" thickBot="1" x14ac:dyDescent="0.3">
      <c r="S335" s="58">
        <v>9</v>
      </c>
      <c r="T335" s="59">
        <f t="shared" si="26"/>
        <v>100000</v>
      </c>
      <c r="U335" s="59">
        <v>0</v>
      </c>
      <c r="V335" s="59">
        <f t="shared" si="22"/>
        <v>1000</v>
      </c>
      <c r="W335" s="59">
        <f t="shared" si="23"/>
        <v>1000</v>
      </c>
      <c r="X335" s="64">
        <f t="shared" si="27"/>
        <v>100000</v>
      </c>
    </row>
    <row r="336" spans="19:24" ht="14.4" thickBot="1" x14ac:dyDescent="0.3">
      <c r="S336" s="58">
        <v>10</v>
      </c>
      <c r="T336" s="59">
        <f t="shared" si="26"/>
        <v>100000</v>
      </c>
      <c r="U336" s="59">
        <v>0</v>
      </c>
      <c r="V336" s="59">
        <f t="shared" si="22"/>
        <v>1000</v>
      </c>
      <c r="W336" s="59">
        <f t="shared" si="23"/>
        <v>1000</v>
      </c>
      <c r="X336" s="64">
        <f t="shared" si="27"/>
        <v>100000</v>
      </c>
    </row>
    <row r="337" spans="19:24" ht="14.4" thickBot="1" x14ac:dyDescent="0.3">
      <c r="S337" s="58">
        <v>11</v>
      </c>
      <c r="T337" s="59">
        <f t="shared" si="26"/>
        <v>100000</v>
      </c>
      <c r="U337" s="59">
        <v>0</v>
      </c>
      <c r="V337" s="59">
        <f t="shared" si="22"/>
        <v>1000</v>
      </c>
      <c r="W337" s="59">
        <f t="shared" si="23"/>
        <v>1000</v>
      </c>
      <c r="X337" s="64">
        <f t="shared" si="27"/>
        <v>100000</v>
      </c>
    </row>
    <row r="338" spans="19:24" ht="14.4" thickBot="1" x14ac:dyDescent="0.3">
      <c r="S338" s="58">
        <v>12</v>
      </c>
      <c r="T338" s="59">
        <f t="shared" si="26"/>
        <v>100000</v>
      </c>
      <c r="U338" s="59">
        <v>0</v>
      </c>
      <c r="V338" s="59">
        <f t="shared" si="22"/>
        <v>1000</v>
      </c>
      <c r="W338" s="59">
        <f t="shared" si="23"/>
        <v>1000</v>
      </c>
      <c r="X338" s="64">
        <f t="shared" si="27"/>
        <v>100000</v>
      </c>
    </row>
    <row r="339" spans="19:24" ht="14.4" thickBot="1" x14ac:dyDescent="0.3">
      <c r="S339" s="58">
        <v>13</v>
      </c>
      <c r="T339" s="59">
        <f t="shared" si="26"/>
        <v>100000</v>
      </c>
      <c r="U339" s="59">
        <v>0</v>
      </c>
      <c r="V339" s="59">
        <f t="shared" si="22"/>
        <v>1000</v>
      </c>
      <c r="W339" s="59">
        <f t="shared" si="23"/>
        <v>1000</v>
      </c>
      <c r="X339" s="64">
        <f t="shared" si="27"/>
        <v>100000</v>
      </c>
    </row>
    <row r="340" spans="19:24" ht="14.4" thickBot="1" x14ac:dyDescent="0.3">
      <c r="S340" s="58">
        <v>14</v>
      </c>
      <c r="T340" s="59">
        <f t="shared" si="26"/>
        <v>100000</v>
      </c>
      <c r="U340" s="59">
        <v>0</v>
      </c>
      <c r="V340" s="59">
        <f t="shared" si="22"/>
        <v>1000</v>
      </c>
      <c r="W340" s="59">
        <f t="shared" si="23"/>
        <v>1000</v>
      </c>
      <c r="X340" s="64">
        <f t="shared" si="27"/>
        <v>100000</v>
      </c>
    </row>
    <row r="341" spans="19:24" ht="14.4" thickBot="1" x14ac:dyDescent="0.3">
      <c r="S341" s="58">
        <v>15</v>
      </c>
      <c r="T341" s="59">
        <f t="shared" si="26"/>
        <v>100000</v>
      </c>
      <c r="U341" s="59">
        <v>0</v>
      </c>
      <c r="V341" s="59">
        <f t="shared" si="22"/>
        <v>1000</v>
      </c>
      <c r="W341" s="59">
        <f t="shared" si="23"/>
        <v>1000</v>
      </c>
      <c r="X341" s="64">
        <f t="shared" si="27"/>
        <v>100000</v>
      </c>
    </row>
    <row r="342" spans="19:24" ht="14.4" thickBot="1" x14ac:dyDescent="0.3">
      <c r="S342" s="58">
        <v>16</v>
      </c>
      <c r="T342" s="59">
        <f t="shared" si="26"/>
        <v>100000</v>
      </c>
      <c r="U342" s="59">
        <v>0</v>
      </c>
      <c r="V342" s="59">
        <f t="shared" si="22"/>
        <v>1000</v>
      </c>
      <c r="W342" s="59">
        <f t="shared" si="23"/>
        <v>1000</v>
      </c>
      <c r="X342" s="64">
        <f t="shared" si="27"/>
        <v>100000</v>
      </c>
    </row>
    <row r="343" spans="19:24" ht="14.4" thickBot="1" x14ac:dyDescent="0.3">
      <c r="S343" s="58">
        <v>17</v>
      </c>
      <c r="T343" s="59">
        <f t="shared" si="26"/>
        <v>100000</v>
      </c>
      <c r="U343" s="59">
        <v>0</v>
      </c>
      <c r="V343" s="59">
        <f t="shared" si="22"/>
        <v>1000</v>
      </c>
      <c r="W343" s="59">
        <f t="shared" si="23"/>
        <v>1000</v>
      </c>
      <c r="X343" s="64">
        <f t="shared" si="27"/>
        <v>100000</v>
      </c>
    </row>
    <row r="344" spans="19:24" ht="14.4" thickBot="1" x14ac:dyDescent="0.3">
      <c r="S344" s="58">
        <v>18</v>
      </c>
      <c r="T344" s="59">
        <f t="shared" si="26"/>
        <v>100000</v>
      </c>
      <c r="U344" s="59">
        <v>0</v>
      </c>
      <c r="V344" s="59">
        <f t="shared" si="22"/>
        <v>1000</v>
      </c>
      <c r="W344" s="59">
        <f t="shared" si="23"/>
        <v>1000</v>
      </c>
      <c r="X344" s="64">
        <f t="shared" si="27"/>
        <v>100000</v>
      </c>
    </row>
    <row r="345" spans="19:24" ht="14.4" thickBot="1" x14ac:dyDescent="0.3">
      <c r="S345" s="58">
        <v>19</v>
      </c>
      <c r="T345" s="59">
        <f t="shared" si="26"/>
        <v>100000</v>
      </c>
      <c r="U345" s="59">
        <v>0</v>
      </c>
      <c r="V345" s="59">
        <f t="shared" si="22"/>
        <v>1000</v>
      </c>
      <c r="W345" s="59">
        <f t="shared" si="23"/>
        <v>1000</v>
      </c>
      <c r="X345" s="64">
        <f t="shared" si="27"/>
        <v>100000</v>
      </c>
    </row>
    <row r="346" spans="19:24" ht="14.4" thickBot="1" x14ac:dyDescent="0.3">
      <c r="S346" s="58">
        <v>20</v>
      </c>
      <c r="T346" s="59">
        <f t="shared" si="26"/>
        <v>100000</v>
      </c>
      <c r="U346" s="59">
        <v>0</v>
      </c>
      <c r="V346" s="59">
        <f t="shared" si="22"/>
        <v>1000</v>
      </c>
      <c r="W346" s="59">
        <f t="shared" si="23"/>
        <v>1000</v>
      </c>
      <c r="X346" s="64">
        <f t="shared" si="27"/>
        <v>100000</v>
      </c>
    </row>
    <row r="347" spans="19:24" ht="14.4" thickBot="1" x14ac:dyDescent="0.3">
      <c r="S347" s="58">
        <v>21</v>
      </c>
      <c r="T347" s="59">
        <f t="shared" si="26"/>
        <v>100000</v>
      </c>
      <c r="U347" s="59">
        <v>0</v>
      </c>
      <c r="V347" s="59">
        <f t="shared" si="22"/>
        <v>1000</v>
      </c>
      <c r="W347" s="59">
        <f t="shared" si="23"/>
        <v>1000</v>
      </c>
      <c r="X347" s="64">
        <f t="shared" si="27"/>
        <v>100000</v>
      </c>
    </row>
    <row r="348" spans="19:24" ht="14.4" thickBot="1" x14ac:dyDescent="0.3">
      <c r="S348" s="58">
        <v>22</v>
      </c>
      <c r="T348" s="59">
        <f t="shared" si="26"/>
        <v>100000</v>
      </c>
      <c r="U348" s="59">
        <v>0</v>
      </c>
      <c r="V348" s="59">
        <f t="shared" si="22"/>
        <v>1000</v>
      </c>
      <c r="W348" s="59">
        <f t="shared" si="23"/>
        <v>1000</v>
      </c>
      <c r="X348" s="64">
        <f t="shared" si="27"/>
        <v>100000</v>
      </c>
    </row>
    <row r="349" spans="19:24" ht="14.4" thickBot="1" x14ac:dyDescent="0.3">
      <c r="S349" s="58">
        <v>23</v>
      </c>
      <c r="T349" s="59">
        <f t="shared" si="26"/>
        <v>100000</v>
      </c>
      <c r="U349" s="59">
        <v>0</v>
      </c>
      <c r="V349" s="59">
        <f t="shared" si="22"/>
        <v>1000</v>
      </c>
      <c r="W349" s="59">
        <f t="shared" si="23"/>
        <v>1000</v>
      </c>
      <c r="X349" s="64">
        <f t="shared" si="27"/>
        <v>100000</v>
      </c>
    </row>
    <row r="350" spans="19:24" ht="14.4" thickBot="1" x14ac:dyDescent="0.3">
      <c r="S350" s="58">
        <v>24</v>
      </c>
      <c r="T350" s="59">
        <f t="shared" si="26"/>
        <v>100000</v>
      </c>
      <c r="U350" s="59">
        <v>0</v>
      </c>
      <c r="V350" s="59">
        <f t="shared" si="22"/>
        <v>1000</v>
      </c>
      <c r="W350" s="59">
        <f t="shared" si="23"/>
        <v>1000</v>
      </c>
      <c r="X350" s="64">
        <f t="shared" si="27"/>
        <v>100000</v>
      </c>
    </row>
    <row r="351" spans="19:24" ht="14.4" thickBot="1" x14ac:dyDescent="0.3">
      <c r="S351" s="58">
        <v>25</v>
      </c>
      <c r="T351" s="59">
        <f t="shared" si="26"/>
        <v>100000</v>
      </c>
      <c r="U351" s="59">
        <v>0</v>
      </c>
      <c r="V351" s="59">
        <f t="shared" si="22"/>
        <v>1000</v>
      </c>
      <c r="W351" s="59">
        <f t="shared" si="23"/>
        <v>1000</v>
      </c>
      <c r="X351" s="64">
        <f t="shared" si="27"/>
        <v>100000</v>
      </c>
    </row>
    <row r="352" spans="19:24" ht="14.4" thickBot="1" x14ac:dyDescent="0.3">
      <c r="S352" s="58">
        <v>26</v>
      </c>
      <c r="T352" s="59">
        <f t="shared" si="26"/>
        <v>100000</v>
      </c>
      <c r="U352" s="59">
        <v>0</v>
      </c>
      <c r="V352" s="59">
        <f t="shared" si="22"/>
        <v>1000</v>
      </c>
      <c r="W352" s="59">
        <f t="shared" si="23"/>
        <v>1000</v>
      </c>
      <c r="X352" s="64">
        <f t="shared" si="27"/>
        <v>100000</v>
      </c>
    </row>
    <row r="353" spans="9:24" ht="14.4" thickBot="1" x14ac:dyDescent="0.3">
      <c r="S353" s="58">
        <v>27</v>
      </c>
      <c r="T353" s="59">
        <f t="shared" si="26"/>
        <v>100000</v>
      </c>
      <c r="U353" s="59">
        <v>0</v>
      </c>
      <c r="V353" s="59">
        <f t="shared" si="22"/>
        <v>1000</v>
      </c>
      <c r="W353" s="59">
        <f t="shared" si="23"/>
        <v>1000</v>
      </c>
      <c r="X353" s="64">
        <f t="shared" si="27"/>
        <v>100000</v>
      </c>
    </row>
    <row r="354" spans="9:24" ht="14.4" thickBot="1" x14ac:dyDescent="0.3">
      <c r="S354" s="58">
        <v>28</v>
      </c>
      <c r="T354" s="59">
        <f t="shared" si="26"/>
        <v>100000</v>
      </c>
      <c r="U354" s="59">
        <v>0</v>
      </c>
      <c r="V354" s="59">
        <f t="shared" si="22"/>
        <v>1000</v>
      </c>
      <c r="W354" s="59">
        <f t="shared" si="23"/>
        <v>1000</v>
      </c>
      <c r="X354" s="64">
        <f t="shared" si="27"/>
        <v>100000</v>
      </c>
    </row>
    <row r="355" spans="9:24" ht="14.4" thickBot="1" x14ac:dyDescent="0.3">
      <c r="S355" s="58">
        <v>29</v>
      </c>
      <c r="T355" s="59">
        <f t="shared" si="26"/>
        <v>100000</v>
      </c>
      <c r="U355" s="59">
        <v>0</v>
      </c>
      <c r="V355" s="59">
        <f t="shared" si="22"/>
        <v>1000</v>
      </c>
      <c r="W355" s="59">
        <f t="shared" si="23"/>
        <v>1000</v>
      </c>
      <c r="X355" s="64">
        <f t="shared" si="27"/>
        <v>100000</v>
      </c>
    </row>
    <row r="356" spans="9:24" ht="14.4" thickBot="1" x14ac:dyDescent="0.3">
      <c r="S356" s="58">
        <v>30</v>
      </c>
      <c r="T356" s="59">
        <f t="shared" si="26"/>
        <v>100000</v>
      </c>
      <c r="U356" s="59">
        <v>0</v>
      </c>
      <c r="V356" s="59">
        <f t="shared" si="22"/>
        <v>1000</v>
      </c>
      <c r="W356" s="59">
        <f t="shared" si="23"/>
        <v>1000</v>
      </c>
      <c r="X356" s="64">
        <f t="shared" si="27"/>
        <v>100000</v>
      </c>
    </row>
    <row r="357" spans="9:24" ht="14.4" thickBot="1" x14ac:dyDescent="0.3">
      <c r="S357" s="58">
        <v>31</v>
      </c>
      <c r="T357" s="59">
        <f t="shared" si="26"/>
        <v>100000</v>
      </c>
      <c r="U357" s="59">
        <v>0</v>
      </c>
      <c r="V357" s="59">
        <f t="shared" si="22"/>
        <v>1000</v>
      </c>
      <c r="W357" s="59">
        <f t="shared" si="23"/>
        <v>1000</v>
      </c>
      <c r="X357" s="64">
        <f t="shared" si="27"/>
        <v>100000</v>
      </c>
    </row>
    <row r="358" spans="9:24" ht="14.4" thickBot="1" x14ac:dyDescent="0.3">
      <c r="S358" s="58">
        <v>32</v>
      </c>
      <c r="T358" s="59">
        <f t="shared" si="26"/>
        <v>100000</v>
      </c>
      <c r="U358" s="59">
        <v>0</v>
      </c>
      <c r="V358" s="59">
        <f t="shared" si="22"/>
        <v>1000</v>
      </c>
      <c r="W358" s="59">
        <f t="shared" si="23"/>
        <v>1000</v>
      </c>
      <c r="X358" s="64">
        <f t="shared" si="27"/>
        <v>100000</v>
      </c>
    </row>
    <row r="359" spans="9:24" ht="14.4" thickBot="1" x14ac:dyDescent="0.3">
      <c r="S359" s="58">
        <v>33</v>
      </c>
      <c r="T359" s="59">
        <f t="shared" si="26"/>
        <v>100000</v>
      </c>
      <c r="U359" s="59">
        <v>0</v>
      </c>
      <c r="V359" s="59">
        <f t="shared" si="22"/>
        <v>1000</v>
      </c>
      <c r="W359" s="59">
        <f t="shared" si="23"/>
        <v>1000</v>
      </c>
      <c r="X359" s="64">
        <f t="shared" si="27"/>
        <v>100000</v>
      </c>
    </row>
    <row r="360" spans="9:24" ht="14.4" thickBot="1" x14ac:dyDescent="0.3">
      <c r="I360" s="50" t="s">
        <v>5</v>
      </c>
      <c r="J360" s="67">
        <v>1000</v>
      </c>
      <c r="S360" s="58">
        <v>34</v>
      </c>
      <c r="T360" s="59">
        <f t="shared" si="26"/>
        <v>100000</v>
      </c>
      <c r="U360" s="59">
        <v>0</v>
      </c>
      <c r="V360" s="59">
        <f t="shared" si="22"/>
        <v>1000</v>
      </c>
      <c r="W360" s="59">
        <f t="shared" si="23"/>
        <v>1000</v>
      </c>
      <c r="X360" s="64">
        <f t="shared" si="27"/>
        <v>100000</v>
      </c>
    </row>
    <row r="361" spans="9:24" ht="14.4" thickBot="1" x14ac:dyDescent="0.3">
      <c r="I361" s="50" t="s">
        <v>11</v>
      </c>
      <c r="J361" s="50">
        <v>2</v>
      </c>
      <c r="S361" s="58">
        <v>35</v>
      </c>
      <c r="T361" s="59">
        <f t="shared" si="26"/>
        <v>100000</v>
      </c>
      <c r="U361" s="59">
        <v>0</v>
      </c>
      <c r="V361" s="59">
        <f t="shared" si="22"/>
        <v>1000</v>
      </c>
      <c r="W361" s="59">
        <f t="shared" si="23"/>
        <v>1000</v>
      </c>
      <c r="X361" s="64">
        <f t="shared" si="27"/>
        <v>100000</v>
      </c>
    </row>
    <row r="362" spans="9:24" ht="14.4" thickBot="1" x14ac:dyDescent="0.3">
      <c r="I362" s="50" t="s">
        <v>15</v>
      </c>
      <c r="J362" s="50">
        <f>7*2</f>
        <v>14</v>
      </c>
      <c r="S362" s="58">
        <v>36</v>
      </c>
      <c r="T362" s="59">
        <f t="shared" si="26"/>
        <v>100000</v>
      </c>
      <c r="U362" s="59">
        <v>0</v>
      </c>
      <c r="V362" s="59">
        <f t="shared" si="22"/>
        <v>1000</v>
      </c>
      <c r="W362" s="59">
        <f t="shared" si="23"/>
        <v>1000</v>
      </c>
      <c r="X362" s="64">
        <f t="shared" si="27"/>
        <v>100000</v>
      </c>
    </row>
    <row r="363" spans="9:24" ht="14.4" thickBot="1" x14ac:dyDescent="0.3">
      <c r="I363" s="50" t="s">
        <v>18</v>
      </c>
      <c r="J363" s="50">
        <v>945.39</v>
      </c>
      <c r="S363" s="58">
        <v>37</v>
      </c>
      <c r="T363" s="59">
        <f t="shared" si="26"/>
        <v>100000</v>
      </c>
      <c r="U363" s="59">
        <v>0</v>
      </c>
      <c r="V363" s="59">
        <f t="shared" si="22"/>
        <v>1000</v>
      </c>
      <c r="W363" s="59">
        <f t="shared" si="23"/>
        <v>1000</v>
      </c>
      <c r="X363" s="64">
        <f t="shared" si="27"/>
        <v>100000</v>
      </c>
    </row>
    <row r="364" spans="9:24" ht="14.4" thickBot="1" x14ac:dyDescent="0.3">
      <c r="I364" s="50" t="s">
        <v>24</v>
      </c>
      <c r="J364" s="68">
        <v>7.1220000000000006E-2</v>
      </c>
      <c r="S364" s="58">
        <v>38</v>
      </c>
      <c r="T364" s="59">
        <f t="shared" si="26"/>
        <v>100000</v>
      </c>
      <c r="U364" s="59">
        <v>0</v>
      </c>
      <c r="V364" s="59">
        <f t="shared" si="22"/>
        <v>1000</v>
      </c>
      <c r="W364" s="59">
        <f t="shared" si="23"/>
        <v>1000</v>
      </c>
      <c r="X364" s="64">
        <f t="shared" si="27"/>
        <v>100000</v>
      </c>
    </row>
    <row r="365" spans="9:24" ht="14.4" thickBot="1" x14ac:dyDescent="0.3">
      <c r="I365" s="50" t="s">
        <v>42</v>
      </c>
      <c r="J365" s="68">
        <f>(1+J364)^(1/2)-1</f>
        <v>3.4997584538244197E-2</v>
      </c>
      <c r="S365" s="58">
        <v>39</v>
      </c>
      <c r="T365" s="59">
        <f t="shared" si="26"/>
        <v>100000</v>
      </c>
      <c r="U365" s="59">
        <v>0</v>
      </c>
      <c r="V365" s="59">
        <f t="shared" si="22"/>
        <v>1000</v>
      </c>
      <c r="W365" s="59">
        <f t="shared" si="23"/>
        <v>1000</v>
      </c>
      <c r="X365" s="64">
        <f t="shared" si="27"/>
        <v>100000</v>
      </c>
    </row>
    <row r="366" spans="9:24" ht="14.4" thickBot="1" x14ac:dyDescent="0.3">
      <c r="I366" s="50"/>
      <c r="J366" s="50"/>
      <c r="S366" s="58">
        <v>40</v>
      </c>
      <c r="T366" s="59">
        <f t="shared" si="26"/>
        <v>100000</v>
      </c>
      <c r="U366" s="59">
        <v>0</v>
      </c>
      <c r="V366" s="59">
        <f t="shared" si="22"/>
        <v>1000</v>
      </c>
      <c r="W366" s="59">
        <f t="shared" si="23"/>
        <v>1000</v>
      </c>
      <c r="X366" s="64">
        <f t="shared" si="27"/>
        <v>100000</v>
      </c>
    </row>
    <row r="367" spans="9:24" ht="14.4" thickBot="1" x14ac:dyDescent="0.3">
      <c r="I367" s="50" t="s">
        <v>45</v>
      </c>
      <c r="J367" s="69">
        <f>PMT(J365,J362,-J363,J360)</f>
        <v>29.996988071436355</v>
      </c>
      <c r="S367" s="58">
        <v>41</v>
      </c>
      <c r="T367" s="59">
        <f t="shared" si="26"/>
        <v>100000</v>
      </c>
      <c r="U367" s="59">
        <v>0</v>
      </c>
      <c r="V367" s="59">
        <f t="shared" si="22"/>
        <v>1000</v>
      </c>
      <c r="W367" s="59">
        <f t="shared" si="23"/>
        <v>1000</v>
      </c>
      <c r="X367" s="64">
        <f t="shared" si="27"/>
        <v>100000</v>
      </c>
    </row>
    <row r="368" spans="9:24" ht="14.4" thickBot="1" x14ac:dyDescent="0.3">
      <c r="I368" s="50" t="s">
        <v>47</v>
      </c>
      <c r="J368" s="68">
        <f>J367/J360</f>
        <v>2.9996988071436356E-2</v>
      </c>
      <c r="S368" s="58">
        <v>42</v>
      </c>
      <c r="T368" s="59">
        <f t="shared" si="26"/>
        <v>100000</v>
      </c>
      <c r="U368" s="59">
        <v>0</v>
      </c>
      <c r="V368" s="59">
        <f t="shared" si="22"/>
        <v>1000</v>
      </c>
      <c r="W368" s="59">
        <f t="shared" si="23"/>
        <v>1000</v>
      </c>
      <c r="X368" s="64">
        <f t="shared" si="27"/>
        <v>100000</v>
      </c>
    </row>
    <row r="369" spans="10:24" ht="14.4" thickBot="1" x14ac:dyDescent="0.3">
      <c r="J369" s="13">
        <f>2*J368</f>
        <v>5.9993976142872711E-2</v>
      </c>
      <c r="S369" s="58">
        <v>43</v>
      </c>
      <c r="T369" s="59">
        <f t="shared" si="26"/>
        <v>100000</v>
      </c>
      <c r="U369" s="59">
        <v>0</v>
      </c>
      <c r="V369" s="59">
        <f t="shared" si="22"/>
        <v>1000</v>
      </c>
      <c r="W369" s="59">
        <f t="shared" si="23"/>
        <v>1000</v>
      </c>
      <c r="X369" s="64">
        <f t="shared" si="27"/>
        <v>100000</v>
      </c>
    </row>
    <row r="370" spans="10:24" ht="14.4" thickBot="1" x14ac:dyDescent="0.3">
      <c r="S370" s="58">
        <v>44</v>
      </c>
      <c r="T370" s="59">
        <f t="shared" si="26"/>
        <v>100000</v>
      </c>
      <c r="U370" s="59">
        <v>0</v>
      </c>
      <c r="V370" s="59">
        <f t="shared" si="22"/>
        <v>1000</v>
      </c>
      <c r="W370" s="59">
        <f t="shared" si="23"/>
        <v>1000</v>
      </c>
      <c r="X370" s="64">
        <f t="shared" si="27"/>
        <v>100000</v>
      </c>
    </row>
    <row r="371" spans="10:24" ht="14.4" thickBot="1" x14ac:dyDescent="0.3">
      <c r="S371" s="58">
        <v>45</v>
      </c>
      <c r="T371" s="59">
        <f t="shared" si="26"/>
        <v>100000</v>
      </c>
      <c r="U371" s="59">
        <v>0</v>
      </c>
      <c r="V371" s="59">
        <f t="shared" si="22"/>
        <v>1000</v>
      </c>
      <c r="W371" s="59">
        <f t="shared" si="23"/>
        <v>1000</v>
      </c>
      <c r="X371" s="64">
        <f t="shared" si="27"/>
        <v>100000</v>
      </c>
    </row>
    <row r="372" spans="10:24" ht="14.4" thickBot="1" x14ac:dyDescent="0.3">
      <c r="S372" s="58">
        <v>46</v>
      </c>
      <c r="T372" s="59">
        <f t="shared" si="26"/>
        <v>100000</v>
      </c>
      <c r="U372" s="59">
        <v>0</v>
      </c>
      <c r="V372" s="59">
        <f t="shared" si="22"/>
        <v>1000</v>
      </c>
      <c r="W372" s="59">
        <f t="shared" si="23"/>
        <v>1000</v>
      </c>
      <c r="X372" s="64">
        <f t="shared" si="27"/>
        <v>100000</v>
      </c>
    </row>
    <row r="373" spans="10:24" ht="14.4" thickBot="1" x14ac:dyDescent="0.3">
      <c r="S373" s="58">
        <v>47</v>
      </c>
      <c r="T373" s="59">
        <f t="shared" si="26"/>
        <v>100000</v>
      </c>
      <c r="U373" s="59">
        <v>0</v>
      </c>
      <c r="V373" s="59">
        <f t="shared" si="22"/>
        <v>1000</v>
      </c>
      <c r="W373" s="59">
        <f t="shared" si="23"/>
        <v>1000</v>
      </c>
      <c r="X373" s="64">
        <f t="shared" si="27"/>
        <v>100000</v>
      </c>
    </row>
    <row r="374" spans="10:24" ht="14.4" thickBot="1" x14ac:dyDescent="0.3">
      <c r="S374" s="58">
        <v>48</v>
      </c>
      <c r="T374" s="59">
        <f t="shared" si="26"/>
        <v>100000</v>
      </c>
      <c r="U374" s="59">
        <v>0</v>
      </c>
      <c r="V374" s="59">
        <f t="shared" si="22"/>
        <v>1000</v>
      </c>
      <c r="W374" s="59">
        <f t="shared" si="23"/>
        <v>1000</v>
      </c>
      <c r="X374" s="64">
        <f t="shared" si="27"/>
        <v>100000</v>
      </c>
    </row>
    <row r="375" spans="10:24" ht="14.4" thickBot="1" x14ac:dyDescent="0.3">
      <c r="S375" s="58">
        <v>49</v>
      </c>
      <c r="T375" s="59">
        <f t="shared" si="26"/>
        <v>100000</v>
      </c>
      <c r="U375" s="59">
        <v>0</v>
      </c>
      <c r="V375" s="59">
        <f t="shared" si="22"/>
        <v>1000</v>
      </c>
      <c r="W375" s="59">
        <f t="shared" si="23"/>
        <v>1000</v>
      </c>
      <c r="X375" s="64">
        <f t="shared" si="27"/>
        <v>100000</v>
      </c>
    </row>
    <row r="376" spans="10:24" ht="14.4" thickBot="1" x14ac:dyDescent="0.3">
      <c r="S376" s="58">
        <v>50</v>
      </c>
      <c r="T376" s="59">
        <f t="shared" si="26"/>
        <v>100000</v>
      </c>
      <c r="U376" s="59">
        <v>0</v>
      </c>
      <c r="V376" s="59">
        <f t="shared" si="22"/>
        <v>1000</v>
      </c>
      <c r="W376" s="59">
        <f t="shared" si="23"/>
        <v>1000</v>
      </c>
      <c r="X376" s="64">
        <f t="shared" si="27"/>
        <v>100000</v>
      </c>
    </row>
    <row r="377" spans="10:24" ht="14.4" thickBot="1" x14ac:dyDescent="0.3">
      <c r="S377" s="58">
        <v>51</v>
      </c>
      <c r="T377" s="59">
        <f t="shared" si="26"/>
        <v>100000</v>
      </c>
      <c r="U377" s="59">
        <v>0</v>
      </c>
      <c r="V377" s="59">
        <f t="shared" si="22"/>
        <v>1000</v>
      </c>
      <c r="W377" s="59">
        <f t="shared" si="23"/>
        <v>1000</v>
      </c>
      <c r="X377" s="64">
        <f t="shared" si="27"/>
        <v>100000</v>
      </c>
    </row>
    <row r="378" spans="10:24" ht="14.4" thickBot="1" x14ac:dyDescent="0.3">
      <c r="S378" s="58">
        <v>52</v>
      </c>
      <c r="T378" s="59">
        <f t="shared" si="26"/>
        <v>100000</v>
      </c>
      <c r="U378" s="59">
        <v>0</v>
      </c>
      <c r="V378" s="59">
        <f t="shared" si="22"/>
        <v>1000</v>
      </c>
      <c r="W378" s="59">
        <f t="shared" si="23"/>
        <v>1000</v>
      </c>
      <c r="X378" s="64">
        <f t="shared" si="27"/>
        <v>100000</v>
      </c>
    </row>
    <row r="379" spans="10:24" ht="14.4" thickBot="1" x14ac:dyDescent="0.3">
      <c r="S379" s="58">
        <v>53</v>
      </c>
      <c r="T379" s="59">
        <f t="shared" si="26"/>
        <v>100000</v>
      </c>
      <c r="U379" s="59">
        <v>0</v>
      </c>
      <c r="V379" s="59">
        <f t="shared" si="22"/>
        <v>1000</v>
      </c>
      <c r="W379" s="59">
        <f t="shared" si="23"/>
        <v>1000</v>
      </c>
      <c r="X379" s="64">
        <f t="shared" si="27"/>
        <v>100000</v>
      </c>
    </row>
    <row r="380" spans="10:24" ht="14.4" thickBot="1" x14ac:dyDescent="0.3">
      <c r="S380" s="58">
        <v>54</v>
      </c>
      <c r="T380" s="59">
        <f t="shared" si="26"/>
        <v>100000</v>
      </c>
      <c r="U380" s="59">
        <v>0</v>
      </c>
      <c r="V380" s="59">
        <f t="shared" si="22"/>
        <v>1000</v>
      </c>
      <c r="W380" s="59">
        <f t="shared" si="23"/>
        <v>1000</v>
      </c>
      <c r="X380" s="64">
        <f t="shared" si="27"/>
        <v>100000</v>
      </c>
    </row>
    <row r="381" spans="10:24" ht="14.4" thickBot="1" x14ac:dyDescent="0.3">
      <c r="S381" s="58">
        <v>55</v>
      </c>
      <c r="T381" s="59">
        <f t="shared" si="26"/>
        <v>100000</v>
      </c>
      <c r="U381" s="59">
        <v>0</v>
      </c>
      <c r="V381" s="59">
        <f t="shared" si="22"/>
        <v>1000</v>
      </c>
      <c r="W381" s="59">
        <f t="shared" si="23"/>
        <v>1000</v>
      </c>
      <c r="X381" s="64">
        <f t="shared" si="27"/>
        <v>100000</v>
      </c>
    </row>
    <row r="382" spans="10:24" ht="14.4" thickBot="1" x14ac:dyDescent="0.3">
      <c r="S382" s="58">
        <v>56</v>
      </c>
      <c r="T382" s="59">
        <f t="shared" ref="T382:T386" si="28">X381</f>
        <v>100000</v>
      </c>
      <c r="U382" s="59">
        <v>0</v>
      </c>
      <c r="V382" s="59">
        <f t="shared" si="22"/>
        <v>1000</v>
      </c>
      <c r="W382" s="59">
        <f t="shared" si="23"/>
        <v>1000</v>
      </c>
      <c r="X382" s="64">
        <f t="shared" ref="X382:X386" si="29">T382-U382</f>
        <v>100000</v>
      </c>
    </row>
    <row r="383" spans="10:24" ht="14.4" thickBot="1" x14ac:dyDescent="0.3">
      <c r="S383" s="58">
        <v>57</v>
      </c>
      <c r="T383" s="59">
        <f t="shared" si="28"/>
        <v>100000</v>
      </c>
      <c r="U383" s="59">
        <v>0</v>
      </c>
      <c r="V383" s="59">
        <f t="shared" si="22"/>
        <v>1000</v>
      </c>
      <c r="W383" s="59">
        <f t="shared" si="23"/>
        <v>1000</v>
      </c>
      <c r="X383" s="64">
        <f t="shared" si="29"/>
        <v>100000</v>
      </c>
    </row>
    <row r="384" spans="10:24" ht="14.4" thickBot="1" x14ac:dyDescent="0.3">
      <c r="S384" s="58">
        <v>58</v>
      </c>
      <c r="T384" s="59">
        <f t="shared" si="28"/>
        <v>100000</v>
      </c>
      <c r="U384" s="59">
        <v>0</v>
      </c>
      <c r="V384" s="59">
        <f t="shared" si="22"/>
        <v>1000</v>
      </c>
      <c r="W384" s="59">
        <f t="shared" si="23"/>
        <v>1000</v>
      </c>
      <c r="X384" s="64">
        <f t="shared" si="29"/>
        <v>100000</v>
      </c>
    </row>
    <row r="385" spans="9:24" ht="14.4" thickBot="1" x14ac:dyDescent="0.3">
      <c r="S385" s="58">
        <v>59</v>
      </c>
      <c r="T385" s="59">
        <f t="shared" si="28"/>
        <v>100000</v>
      </c>
      <c r="U385" s="59">
        <v>0</v>
      </c>
      <c r="V385" s="59">
        <f t="shared" si="22"/>
        <v>1000</v>
      </c>
      <c r="W385" s="59">
        <f t="shared" si="23"/>
        <v>1000</v>
      </c>
      <c r="X385" s="64">
        <f t="shared" si="29"/>
        <v>100000</v>
      </c>
    </row>
    <row r="386" spans="9:24" ht="14.4" thickBot="1" x14ac:dyDescent="0.3">
      <c r="S386" s="58">
        <v>60</v>
      </c>
      <c r="T386" s="59">
        <f t="shared" si="28"/>
        <v>100000</v>
      </c>
      <c r="U386" s="59">
        <f>T386</f>
        <v>100000</v>
      </c>
      <c r="V386" s="59">
        <f t="shared" si="22"/>
        <v>1000</v>
      </c>
      <c r="W386" s="63">
        <f t="shared" si="23"/>
        <v>101000</v>
      </c>
      <c r="X386" s="64">
        <f t="shared" si="29"/>
        <v>0</v>
      </c>
    </row>
    <row r="388" spans="9:24" x14ac:dyDescent="0.25">
      <c r="V388">
        <v>190</v>
      </c>
    </row>
    <row r="389" spans="9:24" x14ac:dyDescent="0.25">
      <c r="V389">
        <v>100</v>
      </c>
      <c r="W389" s="16"/>
    </row>
    <row r="390" spans="9:24" x14ac:dyDescent="0.25">
      <c r="W390" s="65">
        <f>W386*V388/V389</f>
        <v>191900</v>
      </c>
    </row>
    <row r="398" spans="9:24" x14ac:dyDescent="0.25">
      <c r="I398" s="2" t="s">
        <v>39</v>
      </c>
      <c r="J398" s="70">
        <v>120000</v>
      </c>
      <c r="M398" s="1"/>
    </row>
    <row r="399" spans="9:24" x14ac:dyDescent="0.25">
      <c r="I399" s="22"/>
      <c r="J399" s="19"/>
      <c r="K399" s="26"/>
      <c r="L399" s="19"/>
      <c r="M399" s="18"/>
    </row>
    <row r="400" spans="9:24" x14ac:dyDescent="0.25">
      <c r="I400" s="74" t="s">
        <v>40</v>
      </c>
      <c r="J400" s="75" t="s">
        <v>29</v>
      </c>
      <c r="K400" s="76" t="s">
        <v>31</v>
      </c>
      <c r="L400" s="75" t="s">
        <v>41</v>
      </c>
      <c r="M400" s="25"/>
    </row>
    <row r="401" spans="9:13" x14ac:dyDescent="0.25">
      <c r="I401" s="71" t="s">
        <v>28</v>
      </c>
      <c r="J401" s="23">
        <v>50000</v>
      </c>
      <c r="K401" s="23">
        <v>18661</v>
      </c>
      <c r="L401" s="72">
        <v>0.37</v>
      </c>
      <c r="M401" s="25"/>
    </row>
    <row r="402" spans="9:13" x14ac:dyDescent="0.25">
      <c r="I402" s="71" t="s">
        <v>27</v>
      </c>
      <c r="J402" s="23">
        <v>6000</v>
      </c>
      <c r="K402" s="23">
        <f>L411</f>
        <v>2582</v>
      </c>
      <c r="L402" s="72">
        <v>0.43</v>
      </c>
      <c r="M402" s="25"/>
    </row>
    <row r="403" spans="9:13" x14ac:dyDescent="0.25">
      <c r="I403" s="71" t="s">
        <v>43</v>
      </c>
      <c r="J403" s="23">
        <v>30000</v>
      </c>
      <c r="K403" s="23">
        <v>4170</v>
      </c>
      <c r="L403" s="72">
        <v>0.14000000000000001</v>
      </c>
      <c r="M403" s="25"/>
    </row>
    <row r="404" spans="9:13" x14ac:dyDescent="0.25">
      <c r="I404" s="71" t="s">
        <v>44</v>
      </c>
      <c r="J404" s="23">
        <v>14000</v>
      </c>
      <c r="K404" s="23">
        <f>L414</f>
        <v>3165</v>
      </c>
      <c r="L404" s="72">
        <v>0.22</v>
      </c>
      <c r="M404" s="25"/>
    </row>
    <row r="405" spans="9:13" x14ac:dyDescent="0.25">
      <c r="I405" s="45" t="s">
        <v>46</v>
      </c>
      <c r="J405" s="23">
        <v>40000</v>
      </c>
      <c r="K405" s="23">
        <v>4718</v>
      </c>
      <c r="L405" s="72">
        <v>0.12</v>
      </c>
      <c r="M405" s="73"/>
    </row>
    <row r="406" spans="9:13" x14ac:dyDescent="0.25">
      <c r="I406" s="45" t="s">
        <v>48</v>
      </c>
      <c r="J406" s="23">
        <v>30000</v>
      </c>
      <c r="K406" s="23">
        <f>L413</f>
        <v>7053</v>
      </c>
      <c r="L406" s="72">
        <v>0.23</v>
      </c>
      <c r="M406" s="73"/>
    </row>
    <row r="407" spans="9:13" x14ac:dyDescent="0.25">
      <c r="I407" s="45"/>
      <c r="J407" s="24"/>
      <c r="K407" s="24"/>
      <c r="L407" s="24"/>
      <c r="M407" s="73"/>
    </row>
    <row r="408" spans="9:13" x14ac:dyDescent="0.25">
      <c r="I408" s="45"/>
      <c r="J408" s="24"/>
      <c r="K408" s="24"/>
      <c r="L408" s="24"/>
      <c r="M408" s="73"/>
    </row>
    <row r="409" spans="9:13" x14ac:dyDescent="0.25">
      <c r="I409" s="45"/>
      <c r="J409" s="24"/>
      <c r="K409" s="24"/>
      <c r="L409" s="24"/>
      <c r="M409" s="73"/>
    </row>
    <row r="410" spans="9:13" x14ac:dyDescent="0.25">
      <c r="I410" s="77" t="s">
        <v>49</v>
      </c>
      <c r="J410" s="78" t="s">
        <v>29</v>
      </c>
      <c r="K410" s="78" t="s">
        <v>41</v>
      </c>
      <c r="L410" s="78" t="s">
        <v>50</v>
      </c>
      <c r="M410" s="79" t="s">
        <v>51</v>
      </c>
    </row>
    <row r="411" spans="9:13" x14ac:dyDescent="0.25">
      <c r="I411" s="71" t="s">
        <v>27</v>
      </c>
      <c r="J411" s="23">
        <v>6000</v>
      </c>
      <c r="K411" s="24">
        <v>0.43</v>
      </c>
      <c r="L411" s="23">
        <v>2582</v>
      </c>
      <c r="M411" s="25">
        <f>J398-J411</f>
        <v>114000</v>
      </c>
    </row>
    <row r="412" spans="9:13" x14ac:dyDescent="0.25">
      <c r="I412" s="71" t="s">
        <v>28</v>
      </c>
      <c r="J412" s="23">
        <v>50000</v>
      </c>
      <c r="K412" s="24">
        <v>0.37</v>
      </c>
      <c r="L412" s="23">
        <f>K401</f>
        <v>18661</v>
      </c>
      <c r="M412" s="25">
        <f>M411-J412</f>
        <v>64000</v>
      </c>
    </row>
    <row r="413" spans="9:13" x14ac:dyDescent="0.25">
      <c r="I413" s="71" t="s">
        <v>48</v>
      </c>
      <c r="J413" s="23">
        <v>30000</v>
      </c>
      <c r="K413" s="24">
        <v>0.23</v>
      </c>
      <c r="L413" s="23">
        <v>7053</v>
      </c>
      <c r="M413" s="25">
        <f t="shared" ref="M413:M415" si="30">M412-J413</f>
        <v>34000</v>
      </c>
    </row>
    <row r="414" spans="9:13" x14ac:dyDescent="0.25">
      <c r="I414" s="71" t="s">
        <v>44</v>
      </c>
      <c r="J414" s="23">
        <v>14000</v>
      </c>
      <c r="K414" s="24">
        <v>0.22</v>
      </c>
      <c r="L414" s="23">
        <v>3165</v>
      </c>
      <c r="M414" s="25">
        <f t="shared" si="30"/>
        <v>20000</v>
      </c>
    </row>
    <row r="415" spans="9:13" x14ac:dyDescent="0.25">
      <c r="I415" s="71" t="s">
        <v>43</v>
      </c>
      <c r="J415" s="23">
        <v>20000</v>
      </c>
      <c r="K415" s="24">
        <v>0.14000000000000001</v>
      </c>
      <c r="L415" s="23">
        <f>J415/J403*K403</f>
        <v>2780</v>
      </c>
      <c r="M415" s="25">
        <f t="shared" si="30"/>
        <v>0</v>
      </c>
    </row>
    <row r="416" spans="9:13" x14ac:dyDescent="0.25">
      <c r="I416" s="45"/>
      <c r="J416" s="24"/>
      <c r="K416" s="24"/>
      <c r="L416" s="80">
        <f>SUM(L411:L415)</f>
        <v>34241</v>
      </c>
      <c r="M416" s="73"/>
    </row>
    <row r="417" spans="9:13" ht="14.4" thickBot="1" x14ac:dyDescent="0.3">
      <c r="I417" s="9"/>
      <c r="J417" s="15"/>
      <c r="K417" s="15"/>
      <c r="L417" s="15"/>
      <c r="M417" s="10"/>
    </row>
    <row r="436" spans="9:10" x14ac:dyDescent="0.25">
      <c r="I436" s="29" t="s">
        <v>52</v>
      </c>
      <c r="J436" s="32">
        <v>6000</v>
      </c>
    </row>
    <row r="437" spans="9:10" x14ac:dyDescent="0.25">
      <c r="I437" s="29" t="s">
        <v>53</v>
      </c>
      <c r="J437" s="29">
        <v>30</v>
      </c>
    </row>
    <row r="438" spans="9:10" x14ac:dyDescent="0.25">
      <c r="I438" s="29" t="s">
        <v>54</v>
      </c>
      <c r="J438" s="29">
        <f>J437*12</f>
        <v>360</v>
      </c>
    </row>
    <row r="439" spans="9:10" x14ac:dyDescent="0.25">
      <c r="I439" s="81" t="s">
        <v>55</v>
      </c>
      <c r="J439" s="29">
        <v>1</v>
      </c>
    </row>
    <row r="440" spans="9:10" x14ac:dyDescent="0.25">
      <c r="I440" s="29" t="s">
        <v>32</v>
      </c>
      <c r="J440" s="66">
        <v>7.442E-2</v>
      </c>
    </row>
    <row r="441" spans="9:10" x14ac:dyDescent="0.25">
      <c r="I441" s="29" t="s">
        <v>7</v>
      </c>
      <c r="J441" s="66">
        <f>(1+J440)^(1/12)-1</f>
        <v>5.9996748075359374E-3</v>
      </c>
    </row>
    <row r="443" spans="9:10" x14ac:dyDescent="0.25">
      <c r="J443" s="54">
        <f>PV(J441,J438,J436,,J439)</f>
        <v>-889266.0300742063</v>
      </c>
    </row>
    <row r="477" spans="9:10" x14ac:dyDescent="0.25">
      <c r="I477" s="50" t="s">
        <v>56</v>
      </c>
      <c r="J477" s="82">
        <v>0.02</v>
      </c>
    </row>
    <row r="478" spans="9:10" x14ac:dyDescent="0.25">
      <c r="I478" s="50" t="s">
        <v>57</v>
      </c>
      <c r="J478" s="50">
        <v>3</v>
      </c>
    </row>
    <row r="479" spans="9:10" x14ac:dyDescent="0.25">
      <c r="I479" s="50"/>
      <c r="J479" s="50"/>
    </row>
    <row r="480" spans="9:10" x14ac:dyDescent="0.25">
      <c r="I480" s="50"/>
      <c r="J480" s="83">
        <f>(1+J477)^J478-1</f>
        <v>6.1207999999999929E-2</v>
      </c>
    </row>
    <row r="515" spans="9:14" x14ac:dyDescent="0.25">
      <c r="I515" t="s">
        <v>79</v>
      </c>
    </row>
    <row r="516" spans="9:14" x14ac:dyDescent="0.25">
      <c r="I516" s="52" t="s">
        <v>80</v>
      </c>
    </row>
    <row r="517" spans="9:14" x14ac:dyDescent="0.25">
      <c r="I517" s="2" t="s">
        <v>0</v>
      </c>
      <c r="J517" s="4">
        <v>200000</v>
      </c>
      <c r="K517" t="s">
        <v>16</v>
      </c>
      <c r="M517" s="13">
        <v>0.09</v>
      </c>
      <c r="N517" s="4"/>
    </row>
    <row r="518" spans="9:14" x14ac:dyDescent="0.25">
      <c r="I518" s="2" t="s">
        <v>9</v>
      </c>
      <c r="J518">
        <f>4*12</f>
        <v>48</v>
      </c>
      <c r="K518" t="s">
        <v>81</v>
      </c>
      <c r="M518">
        <v>12</v>
      </c>
    </row>
    <row r="519" spans="9:14" x14ac:dyDescent="0.25">
      <c r="I519" s="2" t="s">
        <v>82</v>
      </c>
      <c r="J519" s="53">
        <f>M517/M518</f>
        <v>7.4999999999999997E-3</v>
      </c>
      <c r="K519" t="s">
        <v>83</v>
      </c>
      <c r="N519" s="13"/>
    </row>
    <row r="520" spans="9:14" ht="14.4" thickBot="1" x14ac:dyDescent="0.3">
      <c r="I520" s="2"/>
      <c r="J520" s="54">
        <f>PMT(J519,J518,-J517,,)</f>
        <v>4977.0084747868423</v>
      </c>
      <c r="K520" t="s">
        <v>26</v>
      </c>
    </row>
    <row r="521" spans="9:14" ht="14.4" thickBot="1" x14ac:dyDescent="0.3">
      <c r="I521" s="57" t="s">
        <v>86</v>
      </c>
      <c r="J521" s="57" t="s">
        <v>87</v>
      </c>
      <c r="K521" s="57" t="s">
        <v>88</v>
      </c>
      <c r="L521" s="57" t="s">
        <v>89</v>
      </c>
      <c r="M521" s="57" t="s">
        <v>90</v>
      </c>
      <c r="N521" s="57" t="s">
        <v>91</v>
      </c>
    </row>
    <row r="522" spans="9:14" ht="14.4" thickBot="1" x14ac:dyDescent="0.3">
      <c r="I522" s="60">
        <v>1</v>
      </c>
      <c r="J522" s="61">
        <f>J517</f>
        <v>200000</v>
      </c>
      <c r="K522" s="59">
        <f>M522-L522</f>
        <v>3477.0084747868423</v>
      </c>
      <c r="L522" s="59">
        <f>$J$519*J522</f>
        <v>1500</v>
      </c>
      <c r="M522" s="62">
        <f>$J$520</f>
        <v>4977.0084747868423</v>
      </c>
      <c r="N522" s="59">
        <f>J522-K522</f>
        <v>196522.99152521315</v>
      </c>
    </row>
    <row r="523" spans="9:14" ht="14.4" thickBot="1" x14ac:dyDescent="0.3">
      <c r="I523" s="60">
        <v>2</v>
      </c>
      <c r="J523" s="59">
        <f>N522</f>
        <v>196522.99152521315</v>
      </c>
      <c r="K523" s="59">
        <f t="shared" ref="K523:K569" si="31">M523-L523</f>
        <v>3503.0860383477439</v>
      </c>
      <c r="L523" s="59">
        <f t="shared" ref="L523:L569" si="32">$J$519*J523</f>
        <v>1473.9224364390986</v>
      </c>
      <c r="M523" s="62">
        <f t="shared" ref="M523:M569" si="33">$J$520</f>
        <v>4977.0084747868423</v>
      </c>
      <c r="N523" s="59">
        <f t="shared" ref="N523:N569" si="34">J523-K523</f>
        <v>193019.90548686541</v>
      </c>
    </row>
    <row r="524" spans="9:14" ht="14.4" thickBot="1" x14ac:dyDescent="0.3">
      <c r="I524" s="60">
        <v>3</v>
      </c>
      <c r="J524" s="59">
        <f t="shared" ref="J524:J569" si="35">N523</f>
        <v>193019.90548686541</v>
      </c>
      <c r="K524" s="59">
        <f t="shared" si="31"/>
        <v>3529.3591836353517</v>
      </c>
      <c r="L524" s="59">
        <f t="shared" si="32"/>
        <v>1447.6492911514904</v>
      </c>
      <c r="M524" s="62">
        <f t="shared" si="33"/>
        <v>4977.0084747868423</v>
      </c>
      <c r="N524" s="59">
        <f t="shared" si="34"/>
        <v>189490.54630323005</v>
      </c>
    </row>
    <row r="525" spans="9:14" ht="14.4" thickBot="1" x14ac:dyDescent="0.3">
      <c r="I525" s="60">
        <v>4</v>
      </c>
      <c r="J525" s="59">
        <f t="shared" si="35"/>
        <v>189490.54630323005</v>
      </c>
      <c r="K525" s="59">
        <f t="shared" si="31"/>
        <v>3555.8293775126167</v>
      </c>
      <c r="L525" s="59">
        <f t="shared" si="32"/>
        <v>1421.1790972742253</v>
      </c>
      <c r="M525" s="62">
        <f t="shared" si="33"/>
        <v>4977.0084747868423</v>
      </c>
      <c r="N525" s="59">
        <f t="shared" si="34"/>
        <v>185934.71692571742</v>
      </c>
    </row>
    <row r="526" spans="9:14" ht="14.4" thickBot="1" x14ac:dyDescent="0.3">
      <c r="I526" s="60">
        <v>5</v>
      </c>
      <c r="J526" s="59">
        <f t="shared" si="35"/>
        <v>185934.71692571742</v>
      </c>
      <c r="K526" s="59">
        <f t="shared" si="31"/>
        <v>3582.4980978439617</v>
      </c>
      <c r="L526" s="59">
        <f t="shared" si="32"/>
        <v>1394.5103769428806</v>
      </c>
      <c r="M526" s="62">
        <f t="shared" si="33"/>
        <v>4977.0084747868423</v>
      </c>
      <c r="N526" s="59">
        <f t="shared" si="34"/>
        <v>182352.21882787347</v>
      </c>
    </row>
    <row r="527" spans="9:14" ht="14.4" thickBot="1" x14ac:dyDescent="0.3">
      <c r="I527" s="60">
        <v>6</v>
      </c>
      <c r="J527" s="59">
        <f t="shared" si="35"/>
        <v>182352.21882787347</v>
      </c>
      <c r="K527" s="59">
        <f t="shared" si="31"/>
        <v>3609.3668335777911</v>
      </c>
      <c r="L527" s="59">
        <f t="shared" si="32"/>
        <v>1367.6416412090509</v>
      </c>
      <c r="M527" s="62">
        <f t="shared" si="33"/>
        <v>4977.0084747868423</v>
      </c>
      <c r="N527" s="59">
        <f t="shared" si="34"/>
        <v>178742.85199429566</v>
      </c>
    </row>
    <row r="528" spans="9:14" ht="14.4" thickBot="1" x14ac:dyDescent="0.3">
      <c r="I528" s="60">
        <v>7</v>
      </c>
      <c r="J528" s="59">
        <f t="shared" si="35"/>
        <v>178742.85199429566</v>
      </c>
      <c r="K528" s="59">
        <f t="shared" si="31"/>
        <v>3636.4370848296248</v>
      </c>
      <c r="L528" s="59">
        <f t="shared" si="32"/>
        <v>1340.5713899572174</v>
      </c>
      <c r="M528" s="62">
        <f t="shared" si="33"/>
        <v>4977.0084747868423</v>
      </c>
      <c r="N528" s="59">
        <f t="shared" si="34"/>
        <v>175106.41490946602</v>
      </c>
    </row>
    <row r="529" spans="9:14" ht="14.4" thickBot="1" x14ac:dyDescent="0.3">
      <c r="I529" s="60">
        <v>8</v>
      </c>
      <c r="J529" s="59">
        <f t="shared" si="35"/>
        <v>175106.41490946602</v>
      </c>
      <c r="K529" s="63">
        <f t="shared" si="31"/>
        <v>3663.7103629658468</v>
      </c>
      <c r="L529" s="59">
        <f t="shared" si="32"/>
        <v>1313.2981118209952</v>
      </c>
      <c r="M529" s="62">
        <f t="shared" si="33"/>
        <v>4977.0084747868423</v>
      </c>
      <c r="N529" s="59">
        <f t="shared" si="34"/>
        <v>171442.70454650017</v>
      </c>
    </row>
    <row r="530" spans="9:14" ht="14.4" thickBot="1" x14ac:dyDescent="0.3">
      <c r="I530" s="60">
        <v>9</v>
      </c>
      <c r="J530" s="59">
        <f t="shared" si="35"/>
        <v>171442.70454650017</v>
      </c>
      <c r="K530" s="59">
        <f t="shared" si="31"/>
        <v>3691.1881906880908</v>
      </c>
      <c r="L530" s="59">
        <f t="shared" si="32"/>
        <v>1285.8202840987512</v>
      </c>
      <c r="M530" s="62">
        <f t="shared" si="33"/>
        <v>4977.0084747868423</v>
      </c>
      <c r="N530" s="59">
        <f t="shared" si="34"/>
        <v>167751.51635581208</v>
      </c>
    </row>
    <row r="531" spans="9:14" ht="14.4" thickBot="1" x14ac:dyDescent="0.3">
      <c r="I531" s="60">
        <v>10</v>
      </c>
      <c r="J531" s="59">
        <f t="shared" si="35"/>
        <v>167751.51635581208</v>
      </c>
      <c r="K531" s="59">
        <f t="shared" si="31"/>
        <v>3718.8721021182519</v>
      </c>
      <c r="L531" s="59">
        <f t="shared" si="32"/>
        <v>1258.1363726685906</v>
      </c>
      <c r="M531" s="62">
        <f t="shared" si="33"/>
        <v>4977.0084747868423</v>
      </c>
      <c r="N531" s="59">
        <f t="shared" si="34"/>
        <v>164032.64425369384</v>
      </c>
    </row>
    <row r="532" spans="9:14" ht="14.4" thickBot="1" x14ac:dyDescent="0.3">
      <c r="I532" s="60">
        <v>11</v>
      </c>
      <c r="J532" s="59">
        <f t="shared" si="35"/>
        <v>164032.64425369384</v>
      </c>
      <c r="K532" s="59">
        <f t="shared" si="31"/>
        <v>3746.7636428841388</v>
      </c>
      <c r="L532" s="59">
        <f t="shared" si="32"/>
        <v>1230.2448319027037</v>
      </c>
      <c r="M532" s="62">
        <f t="shared" si="33"/>
        <v>4977.0084747868423</v>
      </c>
      <c r="N532" s="59">
        <f t="shared" si="34"/>
        <v>160285.88061080969</v>
      </c>
    </row>
    <row r="533" spans="9:14" ht="14.4" thickBot="1" x14ac:dyDescent="0.3">
      <c r="I533" s="60">
        <v>12</v>
      </c>
      <c r="J533" s="59">
        <f t="shared" si="35"/>
        <v>160285.88061080969</v>
      </c>
      <c r="K533" s="59">
        <f t="shared" si="31"/>
        <v>3774.8643702057698</v>
      </c>
      <c r="L533" s="59">
        <f t="shared" si="32"/>
        <v>1202.1441045810727</v>
      </c>
      <c r="M533" s="62">
        <f t="shared" si="33"/>
        <v>4977.0084747868423</v>
      </c>
      <c r="N533" s="59">
        <f t="shared" si="34"/>
        <v>156511.01624060393</v>
      </c>
    </row>
    <row r="534" spans="9:14" ht="14.4" thickBot="1" x14ac:dyDescent="0.3">
      <c r="I534" s="60">
        <v>13</v>
      </c>
      <c r="J534" s="59">
        <f t="shared" si="35"/>
        <v>156511.01624060393</v>
      </c>
      <c r="K534" s="59">
        <f t="shared" si="31"/>
        <v>3803.1758529823128</v>
      </c>
      <c r="L534" s="59">
        <f t="shared" si="32"/>
        <v>1173.8326218045295</v>
      </c>
      <c r="M534" s="62">
        <f t="shared" si="33"/>
        <v>4977.0084747868423</v>
      </c>
      <c r="N534" s="59">
        <f t="shared" si="34"/>
        <v>152707.8403876216</v>
      </c>
    </row>
    <row r="535" spans="9:14" ht="14.4" thickBot="1" x14ac:dyDescent="0.3">
      <c r="I535" s="60">
        <v>14</v>
      </c>
      <c r="J535" s="59">
        <f t="shared" si="35"/>
        <v>152707.8403876216</v>
      </c>
      <c r="K535" s="59">
        <f t="shared" si="31"/>
        <v>3831.69967187968</v>
      </c>
      <c r="L535" s="59">
        <f t="shared" si="32"/>
        <v>1145.3088029071621</v>
      </c>
      <c r="M535" s="62">
        <f t="shared" si="33"/>
        <v>4977.0084747868423</v>
      </c>
      <c r="N535" s="59">
        <f t="shared" si="34"/>
        <v>148876.14071574193</v>
      </c>
    </row>
    <row r="536" spans="9:14" ht="14.4" thickBot="1" x14ac:dyDescent="0.3">
      <c r="I536" s="60">
        <v>15</v>
      </c>
      <c r="J536" s="59">
        <f t="shared" si="35"/>
        <v>148876.14071574193</v>
      </c>
      <c r="K536" s="59">
        <f t="shared" si="31"/>
        <v>3860.4374194187776</v>
      </c>
      <c r="L536" s="59">
        <f t="shared" si="32"/>
        <v>1116.5710553680644</v>
      </c>
      <c r="M536" s="62">
        <f t="shared" si="33"/>
        <v>4977.0084747868423</v>
      </c>
      <c r="N536" s="59">
        <f t="shared" si="34"/>
        <v>145015.70329632316</v>
      </c>
    </row>
    <row r="537" spans="9:14" ht="14.4" thickBot="1" x14ac:dyDescent="0.3">
      <c r="I537" s="60">
        <v>16</v>
      </c>
      <c r="J537" s="59">
        <f t="shared" si="35"/>
        <v>145015.70329632316</v>
      </c>
      <c r="K537" s="59">
        <f t="shared" si="31"/>
        <v>3889.3907000644185</v>
      </c>
      <c r="L537" s="59">
        <f t="shared" si="32"/>
        <v>1087.6177747224237</v>
      </c>
      <c r="M537" s="62">
        <f t="shared" si="33"/>
        <v>4977.0084747868423</v>
      </c>
      <c r="N537" s="59">
        <f t="shared" si="34"/>
        <v>141126.31259625874</v>
      </c>
    </row>
    <row r="538" spans="9:14" ht="14.4" thickBot="1" x14ac:dyDescent="0.3">
      <c r="I538" s="60">
        <v>17</v>
      </c>
      <c r="J538" s="59">
        <f t="shared" si="35"/>
        <v>141126.31259625874</v>
      </c>
      <c r="K538" s="59">
        <f t="shared" si="31"/>
        <v>3918.5611303149017</v>
      </c>
      <c r="L538" s="59">
        <f t="shared" si="32"/>
        <v>1058.4473444719406</v>
      </c>
      <c r="M538" s="62">
        <f t="shared" si="33"/>
        <v>4977.0084747868423</v>
      </c>
      <c r="N538" s="59">
        <f t="shared" si="34"/>
        <v>137207.75146594385</v>
      </c>
    </row>
    <row r="539" spans="9:14" ht="14.4" thickBot="1" x14ac:dyDescent="0.3">
      <c r="I539" s="60">
        <v>18</v>
      </c>
      <c r="J539" s="59">
        <f t="shared" si="35"/>
        <v>137207.75146594385</v>
      </c>
      <c r="K539" s="59">
        <f t="shared" si="31"/>
        <v>3947.9503387922632</v>
      </c>
      <c r="L539" s="59">
        <f t="shared" si="32"/>
        <v>1029.0581359945788</v>
      </c>
      <c r="M539" s="62">
        <f t="shared" si="33"/>
        <v>4977.0084747868423</v>
      </c>
      <c r="N539" s="59">
        <f t="shared" si="34"/>
        <v>133259.80112715159</v>
      </c>
    </row>
    <row r="540" spans="9:14" ht="14.4" thickBot="1" x14ac:dyDescent="0.3">
      <c r="I540" s="60">
        <v>19</v>
      </c>
      <c r="J540" s="59">
        <f t="shared" si="35"/>
        <v>133259.80112715159</v>
      </c>
      <c r="K540" s="59">
        <f t="shared" si="31"/>
        <v>3977.5599663332055</v>
      </c>
      <c r="L540" s="59">
        <f t="shared" si="32"/>
        <v>999.4485084536368</v>
      </c>
      <c r="M540" s="62">
        <f t="shared" si="33"/>
        <v>4977.0084747868423</v>
      </c>
      <c r="N540" s="59">
        <f t="shared" si="34"/>
        <v>129282.24116081838</v>
      </c>
    </row>
    <row r="541" spans="9:14" ht="14.4" thickBot="1" x14ac:dyDescent="0.3">
      <c r="I541" s="60">
        <v>20</v>
      </c>
      <c r="J541" s="59">
        <f t="shared" si="35"/>
        <v>129282.24116081838</v>
      </c>
      <c r="K541" s="59">
        <f t="shared" si="31"/>
        <v>4007.3916660807045</v>
      </c>
      <c r="L541" s="59">
        <f t="shared" si="32"/>
        <v>969.61680870613782</v>
      </c>
      <c r="M541" s="62">
        <f t="shared" si="33"/>
        <v>4977.0084747868423</v>
      </c>
      <c r="N541" s="59">
        <f t="shared" si="34"/>
        <v>125274.84949473767</v>
      </c>
    </row>
    <row r="542" spans="9:14" ht="14.4" thickBot="1" x14ac:dyDescent="0.3">
      <c r="I542" s="60">
        <v>21</v>
      </c>
      <c r="J542" s="59">
        <f t="shared" si="35"/>
        <v>125274.84949473767</v>
      </c>
      <c r="K542" s="59">
        <f t="shared" si="31"/>
        <v>4037.4471035763099</v>
      </c>
      <c r="L542" s="59">
        <f t="shared" si="32"/>
        <v>939.56137121053257</v>
      </c>
      <c r="M542" s="62">
        <f t="shared" si="33"/>
        <v>4977.0084747868423</v>
      </c>
      <c r="N542" s="59">
        <f t="shared" si="34"/>
        <v>121237.40239116136</v>
      </c>
    </row>
    <row r="543" spans="9:14" ht="14.4" thickBot="1" x14ac:dyDescent="0.3">
      <c r="I543" s="60">
        <v>22</v>
      </c>
      <c r="J543" s="59">
        <f t="shared" si="35"/>
        <v>121237.40239116136</v>
      </c>
      <c r="K543" s="59">
        <f t="shared" si="31"/>
        <v>4067.7279568531321</v>
      </c>
      <c r="L543" s="59">
        <f t="shared" si="32"/>
        <v>909.28051793371014</v>
      </c>
      <c r="M543" s="62">
        <f t="shared" si="33"/>
        <v>4977.0084747868423</v>
      </c>
      <c r="N543" s="59">
        <f t="shared" si="34"/>
        <v>117169.67443430822</v>
      </c>
    </row>
    <row r="544" spans="9:14" ht="14.4" thickBot="1" x14ac:dyDescent="0.3">
      <c r="I544" s="60">
        <v>23</v>
      </c>
      <c r="J544" s="59">
        <f t="shared" si="35"/>
        <v>117169.67443430822</v>
      </c>
      <c r="K544" s="59">
        <f t="shared" si="31"/>
        <v>4098.2359165295311</v>
      </c>
      <c r="L544" s="59">
        <f t="shared" si="32"/>
        <v>878.77255825731163</v>
      </c>
      <c r="M544" s="62">
        <f t="shared" si="33"/>
        <v>4977.0084747868423</v>
      </c>
      <c r="N544" s="59">
        <f t="shared" si="34"/>
        <v>113071.43851777869</v>
      </c>
    </row>
    <row r="545" spans="9:14" ht="14.4" thickBot="1" x14ac:dyDescent="0.3">
      <c r="I545" s="60">
        <v>24</v>
      </c>
      <c r="J545" s="59">
        <f t="shared" si="35"/>
        <v>113071.43851777869</v>
      </c>
      <c r="K545" s="59">
        <f t="shared" si="31"/>
        <v>4128.9726859035018</v>
      </c>
      <c r="L545" s="59">
        <f t="shared" si="32"/>
        <v>848.03578888334016</v>
      </c>
      <c r="M545" s="62">
        <f t="shared" si="33"/>
        <v>4977.0084747868423</v>
      </c>
      <c r="N545" s="63">
        <f t="shared" si="34"/>
        <v>108942.46583187519</v>
      </c>
    </row>
    <row r="546" spans="9:14" ht="14.4" thickBot="1" x14ac:dyDescent="0.3">
      <c r="I546" s="60">
        <v>25</v>
      </c>
      <c r="J546" s="59">
        <f t="shared" si="35"/>
        <v>108942.46583187519</v>
      </c>
      <c r="K546" s="59">
        <f t="shared" si="31"/>
        <v>4159.939981047778</v>
      </c>
      <c r="L546" s="59">
        <f t="shared" si="32"/>
        <v>817.06849373906391</v>
      </c>
      <c r="M546" s="62">
        <f t="shared" si="33"/>
        <v>4977.0084747868423</v>
      </c>
      <c r="N546" s="59">
        <f t="shared" si="34"/>
        <v>104782.52585082741</v>
      </c>
    </row>
    <row r="547" spans="9:14" ht="14.4" thickBot="1" x14ac:dyDescent="0.3">
      <c r="I547" s="60">
        <v>26</v>
      </c>
      <c r="J547" s="59">
        <f t="shared" si="35"/>
        <v>104782.52585082741</v>
      </c>
      <c r="K547" s="59">
        <f t="shared" si="31"/>
        <v>4191.139530905637</v>
      </c>
      <c r="L547" s="59">
        <f t="shared" si="32"/>
        <v>785.86894388120561</v>
      </c>
      <c r="M547" s="62">
        <f t="shared" si="33"/>
        <v>4977.0084747868423</v>
      </c>
      <c r="N547" s="59">
        <f t="shared" si="34"/>
        <v>100591.38631992177</v>
      </c>
    </row>
    <row r="548" spans="9:14" ht="14.4" thickBot="1" x14ac:dyDescent="0.3">
      <c r="I548" s="60">
        <v>27</v>
      </c>
      <c r="J548" s="59">
        <f t="shared" si="35"/>
        <v>100591.38631992177</v>
      </c>
      <c r="K548" s="59">
        <f t="shared" si="31"/>
        <v>4222.5730773874293</v>
      </c>
      <c r="L548" s="59">
        <f t="shared" si="32"/>
        <v>754.43539739941332</v>
      </c>
      <c r="M548" s="62">
        <f t="shared" si="33"/>
        <v>4977.0084747868423</v>
      </c>
      <c r="N548" s="59">
        <f t="shared" si="34"/>
        <v>96368.81324253435</v>
      </c>
    </row>
    <row r="549" spans="9:14" ht="14.4" thickBot="1" x14ac:dyDescent="0.3">
      <c r="I549" s="60">
        <v>28</v>
      </c>
      <c r="J549" s="59">
        <f t="shared" si="35"/>
        <v>96368.81324253435</v>
      </c>
      <c r="K549" s="59">
        <f t="shared" si="31"/>
        <v>4254.2423754678348</v>
      </c>
      <c r="L549" s="59">
        <f t="shared" si="32"/>
        <v>722.76609931900759</v>
      </c>
      <c r="M549" s="62">
        <f t="shared" si="33"/>
        <v>4977.0084747868423</v>
      </c>
      <c r="N549" s="59">
        <f t="shared" si="34"/>
        <v>92114.570867066519</v>
      </c>
    </row>
    <row r="550" spans="9:14" ht="14.4" thickBot="1" x14ac:dyDescent="0.3">
      <c r="I550" s="60">
        <v>29</v>
      </c>
      <c r="J550" s="59">
        <f t="shared" si="35"/>
        <v>92114.570867066519</v>
      </c>
      <c r="K550" s="59">
        <f t="shared" si="31"/>
        <v>4286.1491932838435</v>
      </c>
      <c r="L550" s="59">
        <f t="shared" si="32"/>
        <v>690.8592815029989</v>
      </c>
      <c r="M550" s="62">
        <f t="shared" si="33"/>
        <v>4977.0084747868423</v>
      </c>
      <c r="N550" s="59">
        <f t="shared" si="34"/>
        <v>87828.421673782679</v>
      </c>
    </row>
    <row r="551" spans="9:14" ht="14.4" thickBot="1" x14ac:dyDescent="0.3">
      <c r="I551" s="60">
        <v>30</v>
      </c>
      <c r="J551" s="59">
        <f t="shared" si="35"/>
        <v>87828.421673782679</v>
      </c>
      <c r="K551" s="59">
        <f t="shared" si="31"/>
        <v>4318.295312233472</v>
      </c>
      <c r="L551" s="59">
        <f t="shared" si="32"/>
        <v>658.71316255337013</v>
      </c>
      <c r="M551" s="62">
        <f t="shared" si="33"/>
        <v>4977.0084747868423</v>
      </c>
      <c r="N551" s="63">
        <f t="shared" si="34"/>
        <v>83510.126361549206</v>
      </c>
    </row>
    <row r="552" spans="9:14" ht="14.4" thickBot="1" x14ac:dyDescent="0.3">
      <c r="I552" s="60">
        <v>31</v>
      </c>
      <c r="J552" s="59">
        <f t="shared" si="35"/>
        <v>83510.126361549206</v>
      </c>
      <c r="K552" s="59">
        <f t="shared" si="31"/>
        <v>4350.6825270752233</v>
      </c>
      <c r="L552" s="59">
        <f t="shared" si="32"/>
        <v>626.32594771161905</v>
      </c>
      <c r="M552" s="62">
        <f t="shared" si="33"/>
        <v>4977.0084747868423</v>
      </c>
      <c r="N552" s="59">
        <f t="shared" si="34"/>
        <v>79159.44383447399</v>
      </c>
    </row>
    <row r="553" spans="9:14" ht="14.4" thickBot="1" x14ac:dyDescent="0.3">
      <c r="I553" s="60">
        <v>32</v>
      </c>
      <c r="J553" s="59">
        <f t="shared" si="35"/>
        <v>79159.44383447399</v>
      </c>
      <c r="K553" s="59">
        <f t="shared" si="31"/>
        <v>4383.3126460282874</v>
      </c>
      <c r="L553" s="59">
        <f t="shared" si="32"/>
        <v>593.69582875855485</v>
      </c>
      <c r="M553" s="62">
        <f t="shared" si="33"/>
        <v>4977.0084747868423</v>
      </c>
      <c r="N553" s="59">
        <f t="shared" si="34"/>
        <v>74776.131188445695</v>
      </c>
    </row>
    <row r="554" spans="9:14" ht="14.4" thickBot="1" x14ac:dyDescent="0.3">
      <c r="I554" s="60">
        <v>33</v>
      </c>
      <c r="J554" s="59">
        <f t="shared" si="35"/>
        <v>74776.131188445695</v>
      </c>
      <c r="K554" s="59">
        <f t="shared" si="31"/>
        <v>4416.1874908734999</v>
      </c>
      <c r="L554" s="59">
        <f t="shared" si="32"/>
        <v>560.82098391334273</v>
      </c>
      <c r="M554" s="62">
        <f t="shared" si="33"/>
        <v>4977.0084747868423</v>
      </c>
      <c r="N554" s="59">
        <f t="shared" si="34"/>
        <v>70359.943697572191</v>
      </c>
    </row>
    <row r="555" spans="9:14" ht="14.4" thickBot="1" x14ac:dyDescent="0.3">
      <c r="I555" s="60">
        <v>34</v>
      </c>
      <c r="J555" s="59">
        <f t="shared" si="35"/>
        <v>70359.943697572191</v>
      </c>
      <c r="K555" s="59">
        <f t="shared" si="31"/>
        <v>4449.3088970550507</v>
      </c>
      <c r="L555" s="59">
        <f t="shared" si="32"/>
        <v>527.69957773179146</v>
      </c>
      <c r="M555" s="62">
        <f t="shared" si="33"/>
        <v>4977.0084747868423</v>
      </c>
      <c r="N555" s="59">
        <f t="shared" si="34"/>
        <v>65910.634800517146</v>
      </c>
    </row>
    <row r="556" spans="9:14" ht="14.4" thickBot="1" x14ac:dyDescent="0.3">
      <c r="I556" s="60">
        <v>35</v>
      </c>
      <c r="J556" s="59">
        <f t="shared" si="35"/>
        <v>65910.634800517146</v>
      </c>
      <c r="K556" s="59">
        <f t="shared" si="31"/>
        <v>4482.6787137829633</v>
      </c>
      <c r="L556" s="59">
        <f t="shared" si="32"/>
        <v>494.32976100387856</v>
      </c>
      <c r="M556" s="62">
        <f t="shared" si="33"/>
        <v>4977.0084747868423</v>
      </c>
      <c r="N556" s="59">
        <f t="shared" si="34"/>
        <v>61427.956086734179</v>
      </c>
    </row>
    <row r="557" spans="9:14" ht="14.4" thickBot="1" x14ac:dyDescent="0.3">
      <c r="I557" s="60">
        <v>36</v>
      </c>
      <c r="J557" s="59">
        <f t="shared" si="35"/>
        <v>61427.956086734179</v>
      </c>
      <c r="K557" s="59">
        <f t="shared" si="31"/>
        <v>4516.298804136336</v>
      </c>
      <c r="L557" s="59">
        <f t="shared" si="32"/>
        <v>460.70967065050633</v>
      </c>
      <c r="M557" s="62">
        <f t="shared" si="33"/>
        <v>4977.0084747868423</v>
      </c>
      <c r="N557" s="59">
        <f t="shared" si="34"/>
        <v>56911.657282597844</v>
      </c>
    </row>
    <row r="558" spans="9:14" ht="14.4" thickBot="1" x14ac:dyDescent="0.3">
      <c r="I558" s="60">
        <v>37</v>
      </c>
      <c r="J558" s="59">
        <f t="shared" si="35"/>
        <v>56911.657282597844</v>
      </c>
      <c r="K558" s="59">
        <f t="shared" si="31"/>
        <v>4550.1710451673589</v>
      </c>
      <c r="L558" s="59">
        <f t="shared" si="32"/>
        <v>426.83742961948383</v>
      </c>
      <c r="M558" s="62">
        <f t="shared" si="33"/>
        <v>4977.0084747868423</v>
      </c>
      <c r="N558" s="59">
        <f t="shared" si="34"/>
        <v>52361.486237430487</v>
      </c>
    </row>
    <row r="559" spans="9:14" ht="14.4" thickBot="1" x14ac:dyDescent="0.3">
      <c r="I559" s="60">
        <v>38</v>
      </c>
      <c r="J559" s="59">
        <f t="shared" si="35"/>
        <v>52361.486237430487</v>
      </c>
      <c r="K559" s="59">
        <f t="shared" si="31"/>
        <v>4584.2973280061133</v>
      </c>
      <c r="L559" s="59">
        <f t="shared" si="32"/>
        <v>392.71114678072865</v>
      </c>
      <c r="M559" s="62">
        <f t="shared" si="33"/>
        <v>4977.0084747868423</v>
      </c>
      <c r="N559" s="59">
        <f t="shared" si="34"/>
        <v>47777.188909424374</v>
      </c>
    </row>
    <row r="560" spans="9:14" ht="14.4" thickBot="1" x14ac:dyDescent="0.3">
      <c r="I560" s="60">
        <v>39</v>
      </c>
      <c r="J560" s="59">
        <f t="shared" si="35"/>
        <v>47777.188909424374</v>
      </c>
      <c r="K560" s="59">
        <f t="shared" si="31"/>
        <v>4618.6795579661593</v>
      </c>
      <c r="L560" s="59">
        <f t="shared" si="32"/>
        <v>358.32891682068282</v>
      </c>
      <c r="M560" s="62">
        <f t="shared" si="33"/>
        <v>4977.0084747868423</v>
      </c>
      <c r="N560" s="59">
        <f t="shared" si="34"/>
        <v>43158.509351458211</v>
      </c>
    </row>
    <row r="561" spans="9:14" ht="14.4" thickBot="1" x14ac:dyDescent="0.3">
      <c r="I561" s="60">
        <v>40</v>
      </c>
      <c r="J561" s="59">
        <f t="shared" si="35"/>
        <v>43158.509351458211</v>
      </c>
      <c r="K561" s="59">
        <f t="shared" si="31"/>
        <v>4653.3196546509062</v>
      </c>
      <c r="L561" s="59">
        <f t="shared" si="32"/>
        <v>323.68882013593657</v>
      </c>
      <c r="M561" s="62">
        <f t="shared" si="33"/>
        <v>4977.0084747868423</v>
      </c>
      <c r="N561" s="59">
        <f t="shared" si="34"/>
        <v>38505.189696807305</v>
      </c>
    </row>
    <row r="562" spans="9:14" ht="14.4" thickBot="1" x14ac:dyDescent="0.3">
      <c r="I562" s="60">
        <v>41</v>
      </c>
      <c r="J562" s="59">
        <f t="shared" si="35"/>
        <v>38505.189696807305</v>
      </c>
      <c r="K562" s="59">
        <f t="shared" si="31"/>
        <v>4688.2195520607875</v>
      </c>
      <c r="L562" s="59">
        <f t="shared" si="32"/>
        <v>288.78892272605475</v>
      </c>
      <c r="M562" s="62">
        <f t="shared" si="33"/>
        <v>4977.0084747868423</v>
      </c>
      <c r="N562" s="59">
        <f t="shared" si="34"/>
        <v>33816.97014474652</v>
      </c>
    </row>
    <row r="563" spans="9:14" ht="14.4" thickBot="1" x14ac:dyDescent="0.3">
      <c r="I563" s="60">
        <v>42</v>
      </c>
      <c r="J563" s="59">
        <f t="shared" si="35"/>
        <v>33816.97014474652</v>
      </c>
      <c r="K563" s="59">
        <f t="shared" si="31"/>
        <v>4723.3811987012432</v>
      </c>
      <c r="L563" s="59">
        <f t="shared" si="32"/>
        <v>253.62727608559888</v>
      </c>
      <c r="M563" s="62">
        <f t="shared" si="33"/>
        <v>4977.0084747868423</v>
      </c>
      <c r="N563" s="59">
        <f t="shared" si="34"/>
        <v>29093.588946045274</v>
      </c>
    </row>
    <row r="564" spans="9:14" ht="14.4" thickBot="1" x14ac:dyDescent="0.3">
      <c r="I564" s="60">
        <v>43</v>
      </c>
      <c r="J564" s="59">
        <f t="shared" si="35"/>
        <v>29093.588946045274</v>
      </c>
      <c r="K564" s="59">
        <f t="shared" si="31"/>
        <v>4758.8065576915023</v>
      </c>
      <c r="L564" s="59">
        <f t="shared" si="32"/>
        <v>218.20191709533955</v>
      </c>
      <c r="M564" s="62">
        <f t="shared" si="33"/>
        <v>4977.0084747868423</v>
      </c>
      <c r="N564" s="59">
        <f t="shared" si="34"/>
        <v>24334.782388353771</v>
      </c>
    </row>
    <row r="565" spans="9:14" ht="14.4" thickBot="1" x14ac:dyDescent="0.3">
      <c r="I565" s="60">
        <v>44</v>
      </c>
      <c r="J565" s="59">
        <f t="shared" si="35"/>
        <v>24334.782388353771</v>
      </c>
      <c r="K565" s="59">
        <f t="shared" si="31"/>
        <v>4794.4976068741889</v>
      </c>
      <c r="L565" s="59">
        <f t="shared" si="32"/>
        <v>182.51086791265328</v>
      </c>
      <c r="M565" s="62">
        <f t="shared" si="33"/>
        <v>4977.0084747868423</v>
      </c>
      <c r="N565" s="59">
        <f t="shared" si="34"/>
        <v>19540.284781479582</v>
      </c>
    </row>
    <row r="566" spans="9:14" ht="14.4" thickBot="1" x14ac:dyDescent="0.3">
      <c r="I566" s="60">
        <v>45</v>
      </c>
      <c r="J566" s="59">
        <f t="shared" si="35"/>
        <v>19540.284781479582</v>
      </c>
      <c r="K566" s="59">
        <f t="shared" si="31"/>
        <v>4830.4563389257455</v>
      </c>
      <c r="L566" s="59">
        <f t="shared" si="32"/>
        <v>146.55213586109687</v>
      </c>
      <c r="M566" s="62">
        <f t="shared" si="33"/>
        <v>4977.0084747868423</v>
      </c>
      <c r="N566" s="59">
        <f t="shared" si="34"/>
        <v>14709.828442553837</v>
      </c>
    </row>
    <row r="567" spans="9:14" ht="14.4" thickBot="1" x14ac:dyDescent="0.3">
      <c r="I567" s="60">
        <v>46</v>
      </c>
      <c r="J567" s="59">
        <f t="shared" si="35"/>
        <v>14709.828442553837</v>
      </c>
      <c r="K567" s="59">
        <f t="shared" si="31"/>
        <v>4866.6847614676881</v>
      </c>
      <c r="L567" s="59">
        <f t="shared" si="32"/>
        <v>110.32371331915377</v>
      </c>
      <c r="M567" s="62">
        <f t="shared" si="33"/>
        <v>4977.0084747868423</v>
      </c>
      <c r="N567" s="59">
        <f t="shared" si="34"/>
        <v>9843.1436810861487</v>
      </c>
    </row>
    <row r="568" spans="9:14" ht="14.4" thickBot="1" x14ac:dyDescent="0.3">
      <c r="I568" s="60">
        <v>47</v>
      </c>
      <c r="J568" s="59">
        <f t="shared" si="35"/>
        <v>9843.1436810861487</v>
      </c>
      <c r="K568" s="59">
        <f t="shared" si="31"/>
        <v>4903.1848971786958</v>
      </c>
      <c r="L568" s="59">
        <f t="shared" si="32"/>
        <v>73.82357760814611</v>
      </c>
      <c r="M568" s="62">
        <f t="shared" si="33"/>
        <v>4977.0084747868423</v>
      </c>
      <c r="N568" s="59">
        <f t="shared" si="34"/>
        <v>4939.9587839074529</v>
      </c>
    </row>
    <row r="569" spans="9:14" ht="14.4" thickBot="1" x14ac:dyDescent="0.3">
      <c r="I569" s="60">
        <v>48</v>
      </c>
      <c r="J569" s="59">
        <f t="shared" si="35"/>
        <v>4939.9587839074529</v>
      </c>
      <c r="K569" s="59">
        <f t="shared" si="31"/>
        <v>4939.9587839075366</v>
      </c>
      <c r="L569" s="59">
        <f t="shared" si="32"/>
        <v>37.049690879305892</v>
      </c>
      <c r="M569" s="62">
        <f t="shared" si="33"/>
        <v>4977.0084747868423</v>
      </c>
      <c r="N569" s="63">
        <f t="shared" si="34"/>
        <v>-8.3673512563109398E-11</v>
      </c>
    </row>
  </sheetData>
  <hyperlinks>
    <hyperlink ref="E6" r:id="rId1" xr:uid="{235C8D02-6BAB-47A2-A1BD-423C41A923D3}"/>
    <hyperlink ref="E8" r:id="rId2" xr:uid="{2FEB50CD-3783-44C2-BD06-99694B5EDF8E}"/>
    <hyperlink ref="E10" r:id="rId3" xr:uid="{0063BF2B-97CF-46F6-BCB6-B3CF65CF2CBE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29D1-64D5-4936-822F-62E120AEA80E}">
  <sheetPr>
    <tabColor rgb="FF00B0F0"/>
  </sheetPr>
  <dimension ref="A13:R61"/>
  <sheetViews>
    <sheetView rightToLeft="1" workbookViewId="0">
      <selection activeCell="B43" sqref="B43"/>
    </sheetView>
  </sheetViews>
  <sheetFormatPr defaultColWidth="8.8984375" defaultRowHeight="13.8" x14ac:dyDescent="0.25"/>
  <cols>
    <col min="5" max="5" width="20.69921875" bestFit="1" customWidth="1"/>
    <col min="6" max="6" width="13.59765625" bestFit="1" customWidth="1"/>
    <col min="7" max="7" width="14.09765625" bestFit="1" customWidth="1"/>
    <col min="8" max="8" width="13.59765625" bestFit="1" customWidth="1"/>
    <col min="9" max="9" width="19.59765625" bestFit="1" customWidth="1"/>
    <col min="15" max="15" width="19.796875" bestFit="1" customWidth="1"/>
  </cols>
  <sheetData>
    <row r="13" spans="15:18" x14ac:dyDescent="0.25">
      <c r="O13" t="s">
        <v>59</v>
      </c>
    </row>
    <row r="14" spans="15:18" x14ac:dyDescent="0.25">
      <c r="R14" s="17">
        <v>0.1</v>
      </c>
    </row>
    <row r="15" spans="15:18" x14ac:dyDescent="0.25">
      <c r="O15">
        <v>-26.5</v>
      </c>
      <c r="P15" t="s">
        <v>29</v>
      </c>
    </row>
    <row r="16" spans="15:18" x14ac:dyDescent="0.25">
      <c r="O16">
        <v>4</v>
      </c>
      <c r="P16" t="s">
        <v>60</v>
      </c>
    </row>
    <row r="17" spans="1:16" x14ac:dyDescent="0.25">
      <c r="O17">
        <v>4</v>
      </c>
      <c r="P17" t="s">
        <v>61</v>
      </c>
    </row>
    <row r="18" spans="1:16" x14ac:dyDescent="0.25">
      <c r="O18">
        <v>4</v>
      </c>
      <c r="P18" t="s">
        <v>62</v>
      </c>
    </row>
    <row r="19" spans="1:16" x14ac:dyDescent="0.25">
      <c r="O19">
        <v>4</v>
      </c>
      <c r="P19" t="s">
        <v>63</v>
      </c>
    </row>
    <row r="20" spans="1:16" x14ac:dyDescent="0.25">
      <c r="O20">
        <v>4</v>
      </c>
      <c r="P20" t="s">
        <v>64</v>
      </c>
    </row>
    <row r="21" spans="1:16" x14ac:dyDescent="0.25">
      <c r="O21">
        <v>4</v>
      </c>
      <c r="P21" t="s">
        <v>65</v>
      </c>
    </row>
    <row r="22" spans="1:16" x14ac:dyDescent="0.25">
      <c r="O22">
        <v>4</v>
      </c>
      <c r="P22" t="s">
        <v>66</v>
      </c>
    </row>
    <row r="23" spans="1:16" x14ac:dyDescent="0.25">
      <c r="O23">
        <v>4</v>
      </c>
      <c r="P23" t="s">
        <v>67</v>
      </c>
    </row>
    <row r="24" spans="1:16" x14ac:dyDescent="0.25">
      <c r="O24">
        <v>3</v>
      </c>
      <c r="P24" t="s">
        <v>68</v>
      </c>
    </row>
    <row r="25" spans="1:16" x14ac:dyDescent="0.25">
      <c r="O25">
        <v>3</v>
      </c>
      <c r="P25" t="s">
        <v>69</v>
      </c>
    </row>
    <row r="26" spans="1:16" x14ac:dyDescent="0.25">
      <c r="O26">
        <v>3</v>
      </c>
      <c r="P26" t="s">
        <v>70</v>
      </c>
    </row>
    <row r="27" spans="1:16" x14ac:dyDescent="0.25">
      <c r="O27">
        <v>2.5</v>
      </c>
      <c r="P27" t="s">
        <v>71</v>
      </c>
    </row>
    <row r="28" spans="1:16" x14ac:dyDescent="0.25">
      <c r="O28" s="84">
        <f>NPV(R14,O16:O27)-26.5</f>
        <v>-0.88331374226322978</v>
      </c>
      <c r="P28" s="47" t="s">
        <v>31</v>
      </c>
    </row>
    <row r="29" spans="1:16" x14ac:dyDescent="0.25">
      <c r="A29" s="19"/>
      <c r="O29" s="85">
        <f>IRR(O15:O27)</f>
        <v>9.2701542845945228E-2</v>
      </c>
      <c r="P29" s="47" t="s">
        <v>77</v>
      </c>
    </row>
    <row r="34" spans="1:9" x14ac:dyDescent="0.25">
      <c r="A34" s="19"/>
    </row>
    <row r="35" spans="1:9" x14ac:dyDescent="0.25">
      <c r="A35" s="19"/>
    </row>
    <row r="38" spans="1:9" x14ac:dyDescent="0.25">
      <c r="A38" s="19"/>
    </row>
    <row r="41" spans="1:9" x14ac:dyDescent="0.25">
      <c r="A41" s="19"/>
    </row>
    <row r="43" spans="1:9" x14ac:dyDescent="0.25">
      <c r="D43" t="s">
        <v>79</v>
      </c>
      <c r="H43" t="s">
        <v>92</v>
      </c>
      <c r="I43" s="54">
        <f>I52+1500000</f>
        <v>23898155.815978296</v>
      </c>
    </row>
    <row r="44" spans="1:9" x14ac:dyDescent="0.25">
      <c r="D44" s="52" t="s">
        <v>80</v>
      </c>
    </row>
    <row r="45" spans="1:9" x14ac:dyDescent="0.25">
      <c r="D45" s="2" t="s">
        <v>0</v>
      </c>
      <c r="E45" s="4">
        <v>26500000</v>
      </c>
      <c r="F45" t="s">
        <v>16</v>
      </c>
      <c r="H45" s="13">
        <v>0.1</v>
      </c>
      <c r="I45" s="4"/>
    </row>
    <row r="46" spans="1:9" x14ac:dyDescent="0.25">
      <c r="D46" s="2" t="s">
        <v>9</v>
      </c>
      <c r="E46">
        <v>12</v>
      </c>
      <c r="F46" t="s">
        <v>81</v>
      </c>
    </row>
    <row r="47" spans="1:9" x14ac:dyDescent="0.25">
      <c r="D47" s="2" t="s">
        <v>82</v>
      </c>
      <c r="E47" s="53">
        <f>H45</f>
        <v>0.1</v>
      </c>
      <c r="F47" t="s">
        <v>83</v>
      </c>
      <c r="I47" s="13"/>
    </row>
    <row r="48" spans="1:9" ht="14.4" thickBot="1" x14ac:dyDescent="0.3">
      <c r="D48" s="2"/>
      <c r="E48" s="54">
        <f>PMT(E47,E46,-E45,,)</f>
        <v>3889227.8501576143</v>
      </c>
      <c r="F48" t="s">
        <v>26</v>
      </c>
    </row>
    <row r="49" spans="4:9" ht="14.4" thickBot="1" x14ac:dyDescent="0.3">
      <c r="D49" s="57" t="s">
        <v>86</v>
      </c>
      <c r="E49" s="57" t="s">
        <v>87</v>
      </c>
      <c r="F49" s="57" t="s">
        <v>88</v>
      </c>
      <c r="G49" s="57" t="s">
        <v>89</v>
      </c>
      <c r="H49" s="57" t="s">
        <v>90</v>
      </c>
      <c r="I49" s="57" t="s">
        <v>91</v>
      </c>
    </row>
    <row r="50" spans="4:9" ht="14.4" thickBot="1" x14ac:dyDescent="0.3">
      <c r="D50" s="60">
        <v>1</v>
      </c>
      <c r="E50" s="61">
        <f>E45</f>
        <v>26500000</v>
      </c>
      <c r="F50" s="59">
        <f>H50-G50</f>
        <v>1239227.8501576143</v>
      </c>
      <c r="G50" s="59">
        <f>$E$47*E50</f>
        <v>2650000</v>
      </c>
      <c r="H50" s="62">
        <f>$E$48</f>
        <v>3889227.8501576143</v>
      </c>
      <c r="I50" s="59">
        <f>E50-F50</f>
        <v>25260772.149842385</v>
      </c>
    </row>
    <row r="51" spans="4:9" ht="14.4" thickBot="1" x14ac:dyDescent="0.3">
      <c r="D51" s="60">
        <v>2</v>
      </c>
      <c r="E51" s="59">
        <f>I50</f>
        <v>25260772.149842385</v>
      </c>
      <c r="F51" s="59">
        <f t="shared" ref="F51:F59" si="0">H51-G51</f>
        <v>1363150.6351733757</v>
      </c>
      <c r="G51" s="59">
        <f t="shared" ref="G51:G61" si="1">$E$47*E51</f>
        <v>2526077.2149842386</v>
      </c>
      <c r="H51" s="62">
        <f t="shared" ref="H51:H61" si="2">$E$48</f>
        <v>3889227.8501576143</v>
      </c>
      <c r="I51" s="59">
        <f t="shared" ref="I51:I59" si="3">E51-F51</f>
        <v>23897621.514669009</v>
      </c>
    </row>
    <row r="52" spans="4:9" ht="14.4" thickBot="1" x14ac:dyDescent="0.3">
      <c r="D52" s="60">
        <v>3</v>
      </c>
      <c r="E52" s="59">
        <f t="shared" ref="E52:E59" si="4">I51</f>
        <v>23897621.514669009</v>
      </c>
      <c r="F52" s="59">
        <f t="shared" si="0"/>
        <v>1499465.6986907134</v>
      </c>
      <c r="G52" s="59">
        <f t="shared" si="1"/>
        <v>2389762.1514669009</v>
      </c>
      <c r="H52" s="62">
        <f t="shared" si="2"/>
        <v>3889227.8501576143</v>
      </c>
      <c r="I52" s="63">
        <f t="shared" si="3"/>
        <v>22398155.815978296</v>
      </c>
    </row>
    <row r="53" spans="4:9" ht="14.4" thickBot="1" x14ac:dyDescent="0.3">
      <c r="D53" s="60">
        <v>4</v>
      </c>
      <c r="E53" s="59">
        <f t="shared" si="4"/>
        <v>22398155.815978296</v>
      </c>
      <c r="F53" s="59">
        <f t="shared" si="0"/>
        <v>1649412.2685597846</v>
      </c>
      <c r="G53" s="59">
        <f t="shared" si="1"/>
        <v>2239815.5815978297</v>
      </c>
      <c r="H53" s="62">
        <f t="shared" si="2"/>
        <v>3889227.8501576143</v>
      </c>
      <c r="I53" s="59">
        <f t="shared" si="3"/>
        <v>20748743.547418512</v>
      </c>
    </row>
    <row r="54" spans="4:9" ht="14.4" thickBot="1" x14ac:dyDescent="0.3">
      <c r="D54" s="60">
        <v>5</v>
      </c>
      <c r="E54" s="59">
        <f t="shared" si="4"/>
        <v>20748743.547418512</v>
      </c>
      <c r="F54" s="63">
        <f t="shared" si="0"/>
        <v>1814353.495415763</v>
      </c>
      <c r="G54" s="63">
        <f t="shared" si="1"/>
        <v>2074874.3547418513</v>
      </c>
      <c r="H54" s="62">
        <f t="shared" si="2"/>
        <v>3889227.8501576143</v>
      </c>
      <c r="I54" s="59">
        <f t="shared" si="3"/>
        <v>18934390.05200275</v>
      </c>
    </row>
    <row r="55" spans="4:9" ht="14.4" thickBot="1" x14ac:dyDescent="0.3">
      <c r="D55" s="60">
        <v>6</v>
      </c>
      <c r="E55" s="59">
        <f t="shared" si="4"/>
        <v>18934390.05200275</v>
      </c>
      <c r="F55" s="59">
        <f t="shared" si="0"/>
        <v>1995788.8449573391</v>
      </c>
      <c r="G55" s="59">
        <f t="shared" si="1"/>
        <v>1893439.0052002752</v>
      </c>
      <c r="H55" s="62">
        <f t="shared" si="2"/>
        <v>3889227.8501576143</v>
      </c>
      <c r="I55" s="59">
        <f t="shared" si="3"/>
        <v>16938601.20704541</v>
      </c>
    </row>
    <row r="56" spans="4:9" ht="14.4" thickBot="1" x14ac:dyDescent="0.3">
      <c r="D56" s="60">
        <v>7</v>
      </c>
      <c r="E56" s="59">
        <f t="shared" si="4"/>
        <v>16938601.20704541</v>
      </c>
      <c r="F56" s="59">
        <f t="shared" si="0"/>
        <v>2195367.7294530733</v>
      </c>
      <c r="G56" s="59">
        <f t="shared" si="1"/>
        <v>1693860.120704541</v>
      </c>
      <c r="H56" s="62">
        <f t="shared" si="2"/>
        <v>3889227.8501576143</v>
      </c>
      <c r="I56" s="59">
        <f t="shared" si="3"/>
        <v>14743233.477592336</v>
      </c>
    </row>
    <row r="57" spans="4:9" ht="14.4" thickBot="1" x14ac:dyDescent="0.3">
      <c r="D57" s="60">
        <v>8</v>
      </c>
      <c r="E57" s="59">
        <f t="shared" si="4"/>
        <v>14743233.477592336</v>
      </c>
      <c r="F57" s="64">
        <f t="shared" si="0"/>
        <v>2414904.5023983805</v>
      </c>
      <c r="G57" s="59">
        <f t="shared" si="1"/>
        <v>1474323.3477592338</v>
      </c>
      <c r="H57" s="62">
        <f t="shared" si="2"/>
        <v>3889227.8501576143</v>
      </c>
      <c r="I57" s="59">
        <f t="shared" si="3"/>
        <v>12328328.975193955</v>
      </c>
    </row>
    <row r="58" spans="4:9" ht="14.4" thickBot="1" x14ac:dyDescent="0.3">
      <c r="D58" s="60">
        <v>9</v>
      </c>
      <c r="E58" s="59">
        <f t="shared" si="4"/>
        <v>12328328.975193955</v>
      </c>
      <c r="F58" s="59">
        <f t="shared" si="0"/>
        <v>2656394.9526382191</v>
      </c>
      <c r="G58" s="59">
        <f t="shared" si="1"/>
        <v>1232832.8975193955</v>
      </c>
      <c r="H58" s="62">
        <f t="shared" si="2"/>
        <v>3889227.8501576143</v>
      </c>
      <c r="I58" s="59">
        <f t="shared" si="3"/>
        <v>9671934.022555735</v>
      </c>
    </row>
    <row r="59" spans="4:9" ht="14.4" thickBot="1" x14ac:dyDescent="0.3">
      <c r="D59" s="60">
        <v>10</v>
      </c>
      <c r="E59" s="59">
        <f t="shared" si="4"/>
        <v>9671934.022555735</v>
      </c>
      <c r="F59" s="59">
        <f t="shared" si="0"/>
        <v>2922034.4479020406</v>
      </c>
      <c r="G59" s="59">
        <f t="shared" si="1"/>
        <v>967193.40225557354</v>
      </c>
      <c r="H59" s="62">
        <f t="shared" si="2"/>
        <v>3889227.8501576143</v>
      </c>
      <c r="I59" s="59">
        <f t="shared" si="3"/>
        <v>6749899.5746536944</v>
      </c>
    </row>
    <row r="60" spans="4:9" ht="14.4" thickBot="1" x14ac:dyDescent="0.3">
      <c r="D60" s="60">
        <v>11</v>
      </c>
      <c r="E60" s="59">
        <f t="shared" ref="E60:E61" si="5">I59</f>
        <v>6749899.5746536944</v>
      </c>
      <c r="F60" s="59">
        <f t="shared" ref="F60:F61" si="6">H60-G60</f>
        <v>3214237.8926922446</v>
      </c>
      <c r="G60" s="59">
        <f t="shared" si="1"/>
        <v>674989.95746536949</v>
      </c>
      <c r="H60" s="62">
        <f t="shared" si="2"/>
        <v>3889227.8501576143</v>
      </c>
      <c r="I60" s="59">
        <f t="shared" ref="I60:I61" si="7">E60-F60</f>
        <v>3535661.6819614498</v>
      </c>
    </row>
    <row r="61" spans="4:9" ht="14.4" thickBot="1" x14ac:dyDescent="0.3">
      <c r="D61" s="60">
        <v>12</v>
      </c>
      <c r="E61" s="59">
        <f t="shared" si="5"/>
        <v>3535661.6819614498</v>
      </c>
      <c r="F61" s="59">
        <f t="shared" si="6"/>
        <v>3535661.6819614694</v>
      </c>
      <c r="G61" s="59">
        <f t="shared" si="1"/>
        <v>353566.16819614498</v>
      </c>
      <c r="H61" s="62">
        <f t="shared" si="2"/>
        <v>3889227.8501576143</v>
      </c>
      <c r="I61" s="63">
        <f t="shared" si="7"/>
        <v>-1.9557774066925049E-8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פתרון שאלות אמריקאיות 1-15</vt:lpstr>
      <vt:lpstr>פתרון שאלה פתוחה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אופיר מאגדי</dc:creator>
  <cp:lastModifiedBy>אופיר מאגדי</cp:lastModifiedBy>
  <dcterms:created xsi:type="dcterms:W3CDTF">2019-12-17T05:56:47Z</dcterms:created>
  <dcterms:modified xsi:type="dcterms:W3CDTF">2019-12-17T09:13:02Z</dcterms:modified>
</cp:coreProperties>
</file>